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6kNAo6rXiJbCnnVyfGYKjXwHWxKyx1d5MDEWcVnmKVoS8qHYFK3wKN5NaE3McB0bvc/WT6ZtecYqZNyVwcOiUg==" workbookSaltValue="wa6FjLaQvExD2sszlXDbbQ=="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C12" i="11" s="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A9" i="8"/>
  <c r="BG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Y13" i="8" s="1"/>
  <c r="AZ10" i="8"/>
  <c r="BA10" i="8"/>
  <c r="BB10" i="8"/>
  <c r="BC10" i="8"/>
  <c r="BC11" i="8"/>
  <c r="BC12" i="8"/>
  <c r="BF12" i="8" s="1"/>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D13" i="7"/>
  <c r="AH19" i="8"/>
  <c r="BE11" i="13"/>
  <c r="B13" i="7"/>
  <c r="AB19" i="19"/>
  <c r="D18" i="12"/>
  <c r="ER19" i="8"/>
  <c r="EQ19" i="8"/>
  <c r="BA13" i="16"/>
  <c r="AC17" i="11"/>
  <c r="G18" i="12"/>
  <c r="W19" i="13"/>
  <c r="R8" i="9"/>
  <c r="X12" i="21" s="1"/>
  <c r="AL13" i="16"/>
  <c r="BH17" i="16"/>
  <c r="BF17" i="11"/>
  <c r="S13" i="16"/>
  <c r="P13" i="16"/>
  <c r="AN13" i="20"/>
  <c r="Z13" i="17"/>
  <c r="AN17" i="11"/>
  <c r="M18" i="2"/>
  <c r="D17" i="6"/>
  <c r="H13" i="12"/>
  <c r="T13" i="12"/>
  <c r="S9" i="17"/>
  <c r="BM12" i="11"/>
  <c r="V9" i="11"/>
  <c r="R10" i="21"/>
  <c r="R13" i="21" s="1"/>
  <c r="BG9" i="11"/>
  <c r="BH17" i="11"/>
  <c r="AP17" i="20"/>
  <c r="BU11" i="17"/>
  <c r="BU10" i="17"/>
  <c r="BW12" i="20"/>
  <c r="BW11" i="20"/>
  <c r="BW10" i="20"/>
  <c r="BU12" i="17"/>
  <c r="X15" i="17"/>
  <c r="Q17" i="17"/>
  <c r="BI9" i="11"/>
  <c r="S10" i="17"/>
  <c r="Q15" i="17"/>
  <c r="BF15" i="11"/>
  <c r="AQ12" i="21"/>
  <c r="BL16" i="11"/>
  <c r="BG12" i="8"/>
  <c r="BD9" i="8"/>
  <c r="BA13" i="8"/>
  <c r="I19" i="8"/>
  <c r="E13" i="17"/>
  <c r="L17" i="2"/>
  <c r="L9" i="2"/>
  <c r="T13" i="20"/>
  <c r="T13" i="16"/>
  <c r="AP13" i="16"/>
  <c r="AA9" i="16"/>
  <c r="T18" i="17"/>
  <c r="BG15" i="13"/>
  <c r="J20" i="20"/>
  <c r="AF20" i="20"/>
  <c r="M20" i="20"/>
  <c r="AG20" i="20"/>
  <c r="S20" i="20"/>
  <c r="W20" i="21"/>
  <c r="K20" i="20"/>
  <c r="Z20" i="20"/>
  <c r="AM20" i="20"/>
  <c r="AK20" i="20"/>
  <c r="F20" i="20"/>
  <c r="AJ19" i="8" l="1"/>
  <c r="Z19" i="8"/>
  <c r="AR18" i="11"/>
  <c r="C19" i="3"/>
  <c r="E18" i="12"/>
  <c r="T19" i="8"/>
  <c r="AA19" i="8"/>
  <c r="BF9" i="8"/>
  <c r="BE9" i="8"/>
  <c r="G18" i="2"/>
  <c r="U9" i="17"/>
  <c r="U19" i="17" s="1"/>
  <c r="BJ16" i="11"/>
  <c r="BH16" i="11"/>
  <c r="BM17" i="11"/>
  <c r="BH10" i="16"/>
  <c r="AQ10" i="21"/>
  <c r="BH10" i="11"/>
  <c r="BG12" i="11"/>
  <c r="AA17" i="16"/>
  <c r="S11" i="17"/>
  <c r="U10" i="17"/>
  <c r="BV11" i="16"/>
  <c r="BV12" i="16"/>
  <c r="BV17" i="16"/>
  <c r="AZ15" i="11"/>
  <c r="AZ18" i="11" s="1"/>
  <c r="BM15" i="11"/>
  <c r="BL11" i="11"/>
  <c r="BI17" i="11"/>
  <c r="BJ11" i="11"/>
  <c r="BH9" i="11"/>
  <c r="AP10" i="21"/>
  <c r="S17" i="16"/>
  <c r="BM16" i="11"/>
  <c r="BH11" i="16"/>
  <c r="BG16" i="13"/>
  <c r="BD16" i="13"/>
  <c r="BE15" i="13"/>
  <c r="BE16" i="13"/>
  <c r="BD11" i="13"/>
  <c r="BB13" i="13"/>
  <c r="F11" i="16"/>
  <c r="BK15" i="11"/>
  <c r="X11" i="17"/>
  <c r="BL12" i="11"/>
  <c r="BF16" i="11"/>
  <c r="P17" i="17"/>
  <c r="BG10" i="11"/>
  <c r="BL9" i="11"/>
  <c r="BF11" i="1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S10" i="14"/>
  <c r="V10" i="14" s="1"/>
  <c r="S17" i="14"/>
  <c r="V17" i="14" s="1"/>
  <c r="V9" i="16"/>
  <c r="V10" i="16"/>
  <c r="X15" i="16"/>
  <c r="X18" i="16" s="1"/>
  <c r="L15" i="2"/>
  <c r="S15" i="17"/>
  <c r="BK10" i="11"/>
  <c r="BH12" i="16"/>
  <c r="BM9" i="11"/>
  <c r="S17" i="17"/>
  <c r="BG16" i="11"/>
  <c r="BH11" i="11"/>
  <c r="BK16" i="11"/>
  <c r="BJ10" i="11"/>
  <c r="BL10" i="11"/>
  <c r="BL15" i="11"/>
  <c r="BF12" i="11"/>
  <c r="P15" i="17"/>
  <c r="S15" i="16"/>
  <c r="S18" i="16" s="1"/>
  <c r="S11" i="14"/>
  <c r="V11" i="14" s="1"/>
  <c r="S12" i="14"/>
  <c r="V12" i="14" s="1"/>
  <c r="BV9" i="16"/>
  <c r="BU16" i="17"/>
  <c r="BU17" i="17"/>
  <c r="BV10" i="16"/>
  <c r="BU9" i="17"/>
  <c r="BW15" i="20"/>
  <c r="BV15" i="16"/>
  <c r="BW16" i="20"/>
  <c r="BV16" i="16"/>
  <c r="BW17" i="20"/>
  <c r="BW9" i="20"/>
  <c r="BU15" i="17"/>
  <c r="T15" i="16"/>
  <c r="T17" i="16"/>
  <c r="BK17" i="11"/>
  <c r="R17" i="20"/>
  <c r="R18" i="20" s="1"/>
  <c r="BG15" i="11"/>
  <c r="AP15" i="20"/>
  <c r="BJ12" i="11"/>
  <c r="BJ15" i="11"/>
  <c r="BI15" i="11"/>
  <c r="S9" i="14"/>
  <c r="V9" i="14" s="1"/>
  <c r="Q10" i="21"/>
  <c r="BI10" i="11"/>
  <c r="V11" i="11"/>
  <c r="BK11" i="11"/>
  <c r="BK9" i="11"/>
  <c r="BF10" i="11"/>
  <c r="BK12" i="11"/>
  <c r="BL17" i="11"/>
  <c r="Q17" i="20"/>
  <c r="Q18" i="20" s="1"/>
  <c r="BH15" i="16"/>
  <c r="BH15" i="11"/>
  <c r="BJ17" i="11"/>
  <c r="V15" i="11"/>
  <c r="BH9" i="16"/>
  <c r="AP16" i="20"/>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J17" i="12"/>
  <c r="F15" i="11"/>
  <c r="BJ13" i="16"/>
  <c r="G16" i="3"/>
  <c r="BE10" i="8"/>
  <c r="BE11" i="8"/>
  <c r="BE12" i="8"/>
  <c r="I12" i="7" s="1"/>
  <c r="AM11" i="11"/>
  <c r="AO9" i="11"/>
  <c r="AM12" i="11"/>
  <c r="I10" i="7"/>
  <c r="F15" i="2"/>
  <c r="AL17" i="11"/>
  <c r="D15" i="6"/>
  <c r="C17" i="6"/>
  <c r="C15" i="6"/>
  <c r="F16" i="11"/>
  <c r="AP12" i="11"/>
  <c r="AP10" i="11"/>
  <c r="Y17" i="11"/>
  <c r="J13" i="11"/>
  <c r="N9" i="11"/>
  <c r="F12" i="11"/>
  <c r="AQ12" i="11" s="1"/>
  <c r="F11" i="11"/>
  <c r="F17" i="16"/>
  <c r="BL17" i="16" s="1"/>
  <c r="F11" i="17"/>
  <c r="AQ11" i="17" s="1"/>
  <c r="G9" i="12"/>
  <c r="Y11" i="11"/>
  <c r="H15" i="7"/>
  <c r="K12"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AO17" i="11"/>
  <c r="AP13" i="21"/>
  <c r="AR13" i="11"/>
  <c r="G18" i="7"/>
  <c r="AT19" i="8"/>
  <c r="AF13" i="21"/>
  <c r="AF19" i="21" s="1"/>
  <c r="AB13" i="21"/>
  <c r="AB19" i="21" s="1"/>
  <c r="C15" i="14"/>
  <c r="K15" i="14" s="1"/>
  <c r="G12" i="12"/>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O10" i="11"/>
  <c r="AA20" i="20"/>
  <c r="T20" i="21"/>
  <c r="AJ20" i="20"/>
  <c r="Q20" i="20"/>
  <c r="AQ20" i="21"/>
  <c r="AU20" i="20"/>
  <c r="AD20" i="20"/>
  <c r="G18" i="14"/>
  <c r="AL20" i="20"/>
  <c r="AI20" i="20"/>
  <c r="U16" i="11"/>
  <c r="AV20" i="20"/>
  <c r="Y20" i="20"/>
  <c r="U12" i="11"/>
  <c r="U10" i="11"/>
  <c r="E20" i="20"/>
  <c r="J15" i="12" l="1"/>
  <c r="I12" i="12"/>
  <c r="AZ13" i="11"/>
  <c r="Q9"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I19" i="11" s="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O20" i="20"/>
  <c r="H20" i="20"/>
  <c r="O16" i="11"/>
  <c r="AB20" i="20"/>
  <c r="H20" i="17"/>
  <c r="I21" i="11" l="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BH20" i="16"/>
  <c r="BK20" i="16"/>
  <c r="AN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AW20" i="21"/>
  <c r="M20" i="17"/>
  <c r="O20" i="11"/>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<sst xmlns="http://schemas.openxmlformats.org/spreadsheetml/2006/main" count="2094" uniqueCount="914">
  <si>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</si>
  <si>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</si>
  <si>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</si>
  <si>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</si>
  <si>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</si>
  <si>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</si>
  <si>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</si>
  <si>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</si>
  <si>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</si>
  <si>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</si>
  <si>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</si>
  <si>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</si>
  <si>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</si>
  <si>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</si>
  <si>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</si>
  <si>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</si>
  <si>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</si>
  <si>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</si>
  <si>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</si>
  <si>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</si>
  <si>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</si>
  <si>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</si>
  <si>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</si>
  <si>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</si>
  <si>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</si>
  <si>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</si>
  <si>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</si>
  <si>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</si>
  <si>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</si>
  <si>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</si>
  <si>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</si>
  <si>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</si>
  <si>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</si>
  <si>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</si>
  <si>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</si>
  <si>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</si>
  <si>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</si>
  <si>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</si>
  <si>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</si>
  <si>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</si>
  <si>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</si>
  <si>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</si>
  <si>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</si>
  <si>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</si>
  <si>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</si>
  <si>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</si>
  <si>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</si>
  <si>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</si>
  <si>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</si>
  <si>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</si>
  <si>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</si>
  <si>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</si>
  <si>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</si>
  <si>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</si>
  <si>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</si>
  <si>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</si>
  <si>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</si>
  <si>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</si>
  <si>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</si>
  <si>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</si>
  <si>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</si>
  <si>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</si>
  <si>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</si>
  <si>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</si>
  <si>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</si>
  <si>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</si>
  <si>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</si>
  <si>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</si>
  <si>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</si>
  <si>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</si>
  <si>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</si>
  <si>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</si>
  <si>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</si>
  <si>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</si>
  <si>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</si>
  <si>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</si>
  <si>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</si>
  <si>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</si>
  <si>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</si>
  <si>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</si>
  <si>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</si>
  <si>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</si>
  <si>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</si>
  <si>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</si>
  <si>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</si>
  <si>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</si>
  <si>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</si>
  <si>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</si>
  <si>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</si>
  <si>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</si>
  <si>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</si>
  <si>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</si>
  <si>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</si>
  <si>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</si>
  <si>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</si>
  <si>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</si>
  <si>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</si>
  <si>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</si>
  <si>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</si>
  <si>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</si>
  <si>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</si>
  <si>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</si>
  <si>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</si>
  <si>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</si>
  <si>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</si>
  <si>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</si>
  <si>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</si>
  <si>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</si>
  <si>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</si>
  <si>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</si>
  <si>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</si>
  <si>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</si>
  <si>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</si>
  <si>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</si>
  <si>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</si>
  <si>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</si>
  <si>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</si>
  <si>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</si>
  <si>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</si>
  <si>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</si>
  <si>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</si>
  <si>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</si>
  <si>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</si>
  <si>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</si>
  <si>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</si>
  <si>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</si>
  <si>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</si>
  <si>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</si>
  <si>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</si>
  <si>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</si>
  <si>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</si>
  <si>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</si>
  <si>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</si>
  <si>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</si>
  <si>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</si>
  <si>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</si>
  <si>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</si>
  <si>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</si>
  <si>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</si>
  <si>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</si>
  <si>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</si>
  <si>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</si>
  <si>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</si>
  <si>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</si>
  <si>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</si>
  <si>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</si>
  <si>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</si>
  <si>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</si>
  <si>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</si>
  <si>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</si>
  <si>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</si>
  <si>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</si>
  <si>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</si>
  <si>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</si>
  <si>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</si>
  <si>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</si>
  <si>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</si>
  <si>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</si>
  <si>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</si>
  <si>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</si>
  <si>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</si>
  <si>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</si>
  <si>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</si>
  <si>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</si>
  <si>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</si>
  <si>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</si>
  <si>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</si>
  <si>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</si>
  <si>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</si>
  <si>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</si>
  <si>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</si>
  <si>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</si>
  <si>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</si>
  <si>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</si>
  <si>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</si>
  <si>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</si>
  <si>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</si>
  <si>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</si>
  <si>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</si>
  <si>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</si>
  <si>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</si>
  <si>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</si>
  <si>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</si>
  <si>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</si>
  <si>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</si>
  <si>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</si>
  <si>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</si>
  <si>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</si>
  <si>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</si>
  <si>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</si>
  <si>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</si>
  <si>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</si>
  <si>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</si>
  <si>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</si>
  <si>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</si>
  <si>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</si>
  <si>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</si>
  <si>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</si>
  <si>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</si>
  <si>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</si>
  <si>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</si>
  <si>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</si>
  <si>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</si>
  <si>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</si>
  <si>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</si>
  <si>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</si>
  <si>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</si>
  <si>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</si>
  <si>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</si>
  <si>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</si>
  <si>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</si>
  <si>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</si>
  <si>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</si>
  <si>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</si>
  <si>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</si>
  <si>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</si>
  <si>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</si>
  <si>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</si>
  <si>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</si>
  <si>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</si>
  <si>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</si>
  <si>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</si>
  <si>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</si>
  <si>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</si>
  <si>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</si>
  <si>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</si>
  <si>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</si>
  <si>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</si>
  <si>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</si>
  <si>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</si>
  <si>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</si>
  <si>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</si>
  <si>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</si>
  <si>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</si>
  <si>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</si>
  <si>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</si>
  <si>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</si>
  <si>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</si>
  <si>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</si>
  <si>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</si>
  <si>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</si>
  <si>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</si>
  <si>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</si>
  <si>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</si>
  <si>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</si>
  <si>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</si>
  <si>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</si>
  <si>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</si>
  <si>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</si>
  <si>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</si>
  <si>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</si>
  <si>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</si>
  <si>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</si>
  <si>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</si>
  <si>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</si>
  <si>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</si>
  <si>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</si>
  <si>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</si>
  <si>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</si>
  <si>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</si>
  <si>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</si>
  <si>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</si>
  <si>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</si>
  <si>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</si>
  <si>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</si>
  <si>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</si>
  <si>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</si>
  <si>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</si>
  <si>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</si>
  <si>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</si>
  <si>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</si>
  <si>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</si>
  <si>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</si>
  <si>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</si>
  <si>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</si>
  <si>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</si>
  <si>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</si>
  <si>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</si>
  <si>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</si>
  <si>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</si>
  <si>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</si>
  <si>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</si>
  <si>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</si>
  <si>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</si>
  <si>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</si>
  <si>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</si>
  <si>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</si>
  <si>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</si>
  <si>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</si>
  <si>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</si>
  <si>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</si>
  <si>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</si>
  <si>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</si>
  <si>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</si>
  <si>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</si>
  <si>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</si>
  <si>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</si>
  <si>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</si>
  <si>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</si>
  <si>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</si>
  <si>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</si>
  <si>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</si>
  <si>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</si>
  <si>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</si>
  <si>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</si>
  <si>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</si>
  <si>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</si>
  <si>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</si>
  <si>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</si>
  <si>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</si>
  <si>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</si>
  <si>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</si>
  <si>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</si>
  <si>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</si>
  <si>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</si>
  <si>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</si>
  <si>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</si>
  <si>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</si>
  <si>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</si>
  <si>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</si>
  <si>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</si>
  <si>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</si>
  <si>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</si>
  <si>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</si>
  <si>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</si>
  <si>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</si>
  <si>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</si>
  <si>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</si>
  <si>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</si>
  <si>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</si>
  <si>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</si>
  <si>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</si>
  <si>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</si>
  <si>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</si>
  <si>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</si>
  <si>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</si>
  <si>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</si>
  <si>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</si>
  <si>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</si>
  <si>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</si>
  <si>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</si>
  <si>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</si>
  <si>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</si>
  <si>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</si>
  <si>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</si>
  <si>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</si>
  <si>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</si>
  <si>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</si>
  <si>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</si>
  <si>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</si>
  <si>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</si>
  <si>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</si>
  <si>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</si>
  <si>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</si>
  <si>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</si>
  <si>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</si>
  <si>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</si>
  <si>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</si>
  <si>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</si>
  <si>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</si>
  <si>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</si>
  <si>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</si>
  <si>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</si>
  <si>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</si>
  <si>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</si>
  <si>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</si>
  <si>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</si>
  <si>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</si>
  <si>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</si>
  <si>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</si>
  <si>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</si>
  <si>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</si>
  <si>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</si>
  <si>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</si>
  <si>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</si>
  <si>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</si>
  <si>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</si>
  <si>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</si>
  <si>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</si>
  <si>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</si>
  <si>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</si>
  <si>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</si>
  <si>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</si>
  <si>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</si>
  <si>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</si>
  <si>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</si>
  <si>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</si>
  <si>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</si>
  <si>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</si>
  <si>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</si>
  <si>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</si>
  <si>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</si>
  <si>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</si>
  <si>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</si>
  <si>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</si>
  <si>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</si>
  <si>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</si>
  <si>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</si>
  <si>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</si>
  <si>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</si>
  <si>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</si>
  <si>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</si>
  <si>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</si>
  <si>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</si>
  <si>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</si>
  <si>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</si>
  <si>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</si>
  <si>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</si>
  <si>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</si>
  <si>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</si>
  <si>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</si>
  <si>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</si>
  <si>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</si>
  <si>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</si>
  <si>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</si>
  <si>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</si>
  <si>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</si>
  <si>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</si>
  <si>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</si>
  <si>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</si>
  <si>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</si>
  <si>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</si>
  <si>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</si>
  <si>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</si>
  <si>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</si>
  <si>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</si>
  <si>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</si>
  <si>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</si>
  <si>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</si>
  <si>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</si>
  <si>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</si>
  <si>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</si>
  <si>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</si>
  <si>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</si>
  <si>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</si>
  <si>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</si>
  <si>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</si>
  <si>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</si>
  <si>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</si>
  <si>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</si>
  <si>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</si>
  <si>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</si>
  <si>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</si>
  <si>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</si>
  <si>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</si>
  <si>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</si>
  <si>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</si>
  <si>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</si>
  <si>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</si>
  <si>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</si>
  <si>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</si>
  <si>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</si>
  <si>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</si>
  <si>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</si>
  <si>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</si>
  <si>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</si>
  <si>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</si>
  <si>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</si>
  <si>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</si>
  <si>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</si>
  <si>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</si>
  <si>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</si>
  <si>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</si>
  <si>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</si>
  <si>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</si>
  <si>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</si>
  <si>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</si>
  <si>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</si>
  <si>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</si>
  <si>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</si>
  <si>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</si>
  <si>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</si>
  <si>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</si>
  <si>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</si>
  <si>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</si>
  <si>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</si>
  <si>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</si>
  <si>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</si>
  <si>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</si>
  <si>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</si>
  <si>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</si>
  <si>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</si>
  <si>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</si>
  <si>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</si>
  <si>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</si>
  <si>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</si>
  <si>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</si>
  <si>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</si>
  <si>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</si>
  <si>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</si>
  <si>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</si>
  <si>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</si>
  <si>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</si>
  <si>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</si>
  <si>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</si>
  <si>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</si>
  <si>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</si>
  <si>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</si>
  <si>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</si>
  <si>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</si>
  <si>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</si>
  <si>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</si>
  <si>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</si>
  <si>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</si>
  <si>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</si>
  <si>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</si>
  <si>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</si>
  <si>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</si>
  <si>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</si>
  <si>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</si>
  <si>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</si>
  <si>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</si>
  <si>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</si>
  <si>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</si>
  <si>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</si>
  <si>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</si>
  <si>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</si>
  <si>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</si>
  <si>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</si>
  <si>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</si>
  <si>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</si>
  <si>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</si>
  <si>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</si>
  <si>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</si>
  <si>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</si>
  <si>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</si>
  <si>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</si>
  <si>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</si>
  <si>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</si>
  <si>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</si>
  <si>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</si>
  <si>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</si>
  <si>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</si>
  <si>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</si>
  <si>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</si>
  <si>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</si>
  <si>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</si>
  <si>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</si>
  <si>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</si>
  <si>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</si>
  <si>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</si>
  <si>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</si>
  <si>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</si>
  <si>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</si>
  <si>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</si>
  <si>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</si>
  <si>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</si>
  <si>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</si>
  <si>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</si>
  <si>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</si>
  <si>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</si>
  <si>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</si>
  <si>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</si>
  <si>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</si>
  <si>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</si>
  <si>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</si>
  <si>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</si>
  <si>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</si>
  <si>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</si>
  <si>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</si>
  <si>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</si>
  <si>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</si>
  <si>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</si>
  <si>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</si>
  <si>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</si>
  <si>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</si>
  <si>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</si>
  <si>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</si>
  <si>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</si>
  <si>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</si>
  <si>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</si>
  <si>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</si>
  <si>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</si>
  <si>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</si>
  <si>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</si>
  <si>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</si>
  <si>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</si>
  <si>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</si>
  <si>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</si>
  <si>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</si>
  <si>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</si>
  <si>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</si>
  <si>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</si>
  <si>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</si>
  <si>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</si>
  <si>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</si>
  <si>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</si>
  <si>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</si>
  <si>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</si>
  <si>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</si>
  <si>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</si>
  <si>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</si>
  <si>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</si>
  <si>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</si>
  <si>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</si>
  <si>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</si>
  <si>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</si>
  <si>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</si>
  <si>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</si>
  <si>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</si>
  <si>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</si>
  <si>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</si>
  <si>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</si>
  <si>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</si>
  <si>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</si>
  <si>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</si>
  <si>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</si>
  <si>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</si>
  <si>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</si>
  <si>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</si>
  <si>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</si>
  <si>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</si>
  <si>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</si>
  <si>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</si>
  <si>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</si>
  <si>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</si>
  <si>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</si>
  <si>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</si>
  <si>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</si>
  <si>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</si>
  <si>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</si>
  <si>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</si>
  <si>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</si>
  <si>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</si>
  <si>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</si>
  <si>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</si>
  <si>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</si>
  <si>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</si>
  <si>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</si>
  <si>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</si>
  <si>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</si>
  <si>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</si>
  <si>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</si>
  <si>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</si>
  <si>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</si>
  <si>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</si>
  <si>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</si>
  <si>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</si>
  <si>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</si>
  <si>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</si>
  <si>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</si>
  <si>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</si>
  <si>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</si>
  <si>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</si>
  <si>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</si>
  <si>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</si>
  <si>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</si>
  <si>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</si>
  <si>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</si>
  <si>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</si>
  <si>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</si>
  <si>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</si>
  <si>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</si>
  <si>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</si>
  <si>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</si>
  <si>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</si>
  <si>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</si>
  <si>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</si>
  <si>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</si>
  <si>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</si>
  <si>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</si>
  <si>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</si>
  <si>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</si>
  <si>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</si>
  <si>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</si>
  <si>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</si>
  <si>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</si>
  <si>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</si>
  <si>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</si>
  <si>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</si>
  <si>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</si>
  <si>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</si>
  <si>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</si>
  <si>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</si>
  <si>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</si>
  <si>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</si>
  <si>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</si>
  <si>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</si>
  <si>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</si>
  <si>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</si>
  <si>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</si>
  <si>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</si>
  <si>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</si>
  <si>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</si>
  <si>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</si>
  <si>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</si>
  <si>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</si>
  <si>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</si>
  <si>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</si>
  <si>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</si>
  <si>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</si>
  <si>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</si>
  <si>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</si>
  <si>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</si>
  <si>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</si>
  <si>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</si>
  <si>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</si>
  <si>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</si>
  <si>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</si>
  <si>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</si>
  <si>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</si>
  <si>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</si>
  <si>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</si>
  <si>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</si>
  <si>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</si>
  <si>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</si>
  <si>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</si>
  <si>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</si>
  <si>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</si>
  <si>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</si>
  <si>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</si>
  <si>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</si>
  <si>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</si>
  <si>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</si>
  <si>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</si>
  <si>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</si>
  <si>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</si>
  <si>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</si>
  <si>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</si>
  <si>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</si>
  <si>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</si>
  <si>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</si>
  <si>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</si>
  <si>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</si>
  <si>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</si>
  <si>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</si>
  <si>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</si>
  <si>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</si>
  <si>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</si>
  <si>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</si>
  <si>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</si>
  <si>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</si>
  <si>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</si>
  <si>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</si>
  <si>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</si>
  <si>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</si>
  <si>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</si>
  <si>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</si>
  <si>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</si>
  <si>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</si>
  <si>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</si>
  <si>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</si>
  <si>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</si>
  <si>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</si>
  <si>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</si>
  <si>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</si>
  <si>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</si>
  <si>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</si>
  <si>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</si>
  <si>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</si>
  <si>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</si>
  <si>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</si>
  <si>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</si>
  <si>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</si>
  <si>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</si>
  <si>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</si>
  <si>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</si>
  <si>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</si>
  <si>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</si>
  <si>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</si>
  <si>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</si>
  <si>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</si>
  <si>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</si>
  <si>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</si>
  <si>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</si>
  <si>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</si>
  <si>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</si>
  <si>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</si>
  <si>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</si>
  <si>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</si>
  <si>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</si>
  <si>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</si>
  <si>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</si>
  <si>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</si>
  <si>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</si>
  <si>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</si>
  <si>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</si>
  <si>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</si>
  <si>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</si>
  <si>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</si>
  <si>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</si>
  <si>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</si>
  <si>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</si>
  <si>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</si>
  <si>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</si>
  <si>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</si>
  <si>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</si>
  <si>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</si>
  <si>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</si>
  <si>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</si>
  <si>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</si>
  <si>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</si>
  <si>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</si>
  <si>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</si>
  <si>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</si>
  <si>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</si>
  <si>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</si>
  <si>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</si>
  <si>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</si>
  <si>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</si>
  <si>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</si>
  <si>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</si>
  <si>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</si>
  <si>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</si>
  <si>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</si>
  <si>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</si>
  <si>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</si>
  <si>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</si>
  <si>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</si>
  <si>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</si>
  <si>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</si>
  <si>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</si>
  <si>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</si>
  <si>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</si>
  <si>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</si>
  <si>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</si>
  <si>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</si>
  <si>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</si>
  <si>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</si>
  <si>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</si>
  <si>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</si>
  <si>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</si>
  <si>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</si>
  <si>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</si>
  <si>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</si>
  <si>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</si>
  <si>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</si>
  <si>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</si>
  <si>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</si>
  <si>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</si>
  <si>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</si>
  <si>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</si>
  <si>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</si>
  <si>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</si>
  <si>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</si>
  <si>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</si>
  <si>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</si>
  <si>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</si>
  <si>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</si>
  <si>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</si>
  <si>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</si>
  <si>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</si>
  <si>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</si>
  <si>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</si>
  <si>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</si>
  <si>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</si>
  <si>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</si>
  <si>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</si>
  <si>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</si>
  <si>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</si>
  <si>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</si>
  <si>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</si>
  <si>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</si>
  <si>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</si>
  <si>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</si>
  <si>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</si>
  <si>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</si>
  <si>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</si>
  <si>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</si>
  <si>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</si>
  <si>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</si>
  <si>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</si>
  <si>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</si>
  <si>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</si>
  <si>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</si>
  <si>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</si>
  <si>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</si>
  <si>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</si>
  <si>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</si>
  <si>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</si>
  <si>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</si>
  <si>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</si>
  <si>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</si>
  <si>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</si>
  <si>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</si>
  <si>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</si>
  <si>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</si>
  <si>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</si>
  <si>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</si>
  <si>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</si>
  <si>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</si>
  <si>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</si>
  <si>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</si>
  <si>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</si>
  <si>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</si>
  <si>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</si>
  <si>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</si>
  <si>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</si>
  <si>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</si>
  <si>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</si>
  <si>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</si>
  <si>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</si>
  <si>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</si>
  <si>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</si>
  <si>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</si>
  <si>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</si>
  <si>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</si>
  <si>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</si>
  <si>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</si>
  <si>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</si>
  <si>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</si>
  <si>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</si>
  <si>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</si>
  <si>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</si>
  <si>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</si>
  <si>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</si>
  <si>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</si>
  <si>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</si>
  <si>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</si>
  <si>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COMUNIDAD VALENCIANA</t>
  </si>
  <si>
    <t>Provincias</t>
  </si>
  <si>
    <t>VALENCIA</t>
  </si>
  <si>
    <t>Resumenes por Partidos Judiciales</t>
  </si>
  <si>
    <t>TORRENT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</si>
</sst>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ATj20aiUtd9h7HBGVRsGRud20LmMmCv/MMXnFdQbkiYodgHqTjx8CPJPUMpR3d8Hloz+k6LKZSKue3ht/ttflA==" saltValue="1VZ8BboEKhZYZa0yf5LON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COMUNIDAD VALENCIANA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6</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5.6897679952409277</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54</v>
      </c>
      <c r="D10" s="228">
        <f>IF(ISNUMBER(Datos!I10),Datos!I10," - ")</f>
        <v>95</v>
      </c>
      <c r="E10" s="229">
        <f>IF(ISNUMBER(Datos!J10),Datos!J10," - ")</f>
        <v>266</v>
      </c>
      <c r="F10" s="229">
        <f>IF(ISNUMBER(Datos!K10),Datos!K10," - ")</f>
        <v>214</v>
      </c>
      <c r="G10" s="1037" t="str">
        <f>IF(Datos!E10&lt;&gt;"",Datos!E10,Datos!D10)</f>
        <v>37</v>
      </c>
      <c r="H10" s="230">
        <f>IF(ISNUMBER(Datos!L10),Datos!L10," - ")</f>
        <v>106</v>
      </c>
      <c r="I10" s="1047" t="str">
        <f>IF(ISNUMBER(Datos!AS10/Datos!BM10),Datos!AS10/Datos!BM10," - ")</f>
        <v xml:space="preserve"> - </v>
      </c>
      <c r="J10" s="1048">
        <f>IF(ISNUMBER(Datos!BY10/Datos!CN10),Datos!BY10/Datos!CN10," - ")</f>
        <v>0</v>
      </c>
      <c r="K10" s="233">
        <f t="shared" ref="K10:K12" si="1">IF(ISNUMBER((E10-F10)/C10),(E10-F10)/C10," - ")</f>
        <v>0.96296296296296291</v>
      </c>
      <c r="L10" s="1028">
        <f>IF(ISNUMBER(NºAsuntos!I10/NºAsuntos!G10),(NºAsuntos!I10/NºAsuntos!G10)*11," - ")</f>
        <v>5.4485981308411215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54</v>
      </c>
      <c r="D13" s="1052">
        <f>SUBTOTAL(9,D9:D12)</f>
        <v>95</v>
      </c>
      <c r="E13" s="1053">
        <f>SUBTOTAL(9,E9:E12)</f>
        <v>266</v>
      </c>
      <c r="F13" s="1054">
        <f>SUBTOTAL(9,F9:F12)</f>
        <v>214</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3</v>
      </c>
      <c r="B15" s="505" t="str">
        <f>Datos!A15</f>
        <v xml:space="preserve">Jdos. Instrucción                               </v>
      </c>
      <c r="C15" s="228">
        <f t="shared" ref="C15:C17" si="2">IF(ISNUMBER(H15-E15+F15),H15-E15+F15," - ")</f>
        <v>2081</v>
      </c>
      <c r="D15" s="228">
        <f>IF(ISNUMBER(IF(D_I="SI",Datos!I15,Datos!I15+Datos!AC15)),IF(D_I="SI",Datos!I15,Datos!I15+Datos!AC15)," - ")</f>
        <v>2062</v>
      </c>
      <c r="E15" s="229">
        <f>IF(ISNUMBER(IF(D_I="SI",Datos!J15,Datos!J15+Datos!AD15)),IF(D_I="SI",Datos!J15,Datos!J15+Datos!AD15)," - ")</f>
        <v>8877</v>
      </c>
      <c r="F15" s="229">
        <f>IF(ISNUMBER(IF(D_I="SI",Datos!K15,Datos!K15+Datos!AE15)),IF(D_I="SI",Datos!K15,Datos!K15+Datos!AE15)," - ")</f>
        <v>8710</v>
      </c>
      <c r="G15" s="1037" t="str">
        <f>IF(Datos!E15&lt;&gt;"",Datos!E15,Datos!D15)</f>
        <v>03</v>
      </c>
      <c r="H15" s="230">
        <f>IF(ISNUMBER(IF(D_I="SI",Datos!L15,Datos!L15+Datos!AF15)),IF(D_I="SI",Datos!L15,Datos!L15+Datos!AF15)," - ")</f>
        <v>2248</v>
      </c>
      <c r="I15" s="1047" t="str">
        <f>IF(ISNUMBER(Datos!AS15/Datos!BM15),Datos!AS15/Datos!BM15," - ")</f>
        <v xml:space="preserve"> - </v>
      </c>
      <c r="J15" s="1048">
        <f>IF(ISNUMBER(Datos!BY15/Datos!CN15),Datos!BY15/Datos!CN15," - ")</f>
        <v>0</v>
      </c>
      <c r="K15" s="233">
        <f t="shared" ref="K15:K17" si="3">IF(ISNUMBER((E15-F15)/C15),(E15-F15)/C15," - ")</f>
        <v>8.0249879865449306E-2</v>
      </c>
      <c r="L15" s="1028">
        <f>IF(ISNUMBER(NºAsuntos!I15/NºAsuntos!G15),(NºAsuntos!I15/NºAsuntos!G15)*11," - ")</f>
        <v>2.8390355912743974</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442</v>
      </c>
      <c r="D17" s="228">
        <f>IF(ISNUMBER(IF(D_I="SI",Datos!I17,Datos!I17+Datos!AC17)),IF(D_I="SI",Datos!I17,Datos!I17+Datos!AC17)," - ")</f>
        <v>449</v>
      </c>
      <c r="E17" s="229">
        <f>IF(ISNUMBER(IF(D_I="SI",Datos!J17,Datos!J17+Datos!AD17)),IF(D_I="SI",Datos!J17,Datos!J17+Datos!AD17)," - ")</f>
        <v>1568</v>
      </c>
      <c r="F17" s="229">
        <f>IF(ISNUMBER(IF(D_I="SI",Datos!K17,Datos!K17+Datos!AE17)),IF(D_I="SI",Datos!K17,Datos!K17+Datos!AE17)," - ")</f>
        <v>1612</v>
      </c>
      <c r="G17" s="1037" t="str">
        <f>IF(Datos!E17&lt;&gt;"",Datos!E17,Datos!D17)</f>
        <v>37</v>
      </c>
      <c r="H17" s="230">
        <f>IF(ISNUMBER(IF(D_I="SI",Datos!L17,Datos!L17+Datos!AF17)),IF(D_I="SI",Datos!L17,Datos!L17+Datos!AF17)," - ")</f>
        <v>398</v>
      </c>
      <c r="I17" s="1047" t="str">
        <f>IF(ISNUMBER(Datos!AS17/Datos!BM17),Datos!AS17/Datos!BM17," - ")</f>
        <v xml:space="preserve"> - </v>
      </c>
      <c r="J17" s="1048" t="str">
        <f>IF(ISNUMBER((Datos!BY17+Datos!BZ17)/Datos!CN17),(Datos!BY17+Datos!BZ17)/Datos!CN17," - ")</f>
        <v xml:space="preserve"> - </v>
      </c>
      <c r="K17" s="233">
        <f t="shared" si="3"/>
        <v>-9.9547511312217188E-2</v>
      </c>
      <c r="L17" s="1028">
        <f>IF(ISNUMBER(NºAsuntos!I17/NºAsuntos!G17),(NºAsuntos!I17/NºAsuntos!G17)*11," - ")</f>
        <v>2.7158808933002483</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2523</v>
      </c>
      <c r="D18" s="1052">
        <f>SUBTOTAL(9,D15:D17)</f>
        <v>2511</v>
      </c>
      <c r="E18" s="1053">
        <f>SUBTOTAL(9,E15:E17)</f>
        <v>10445</v>
      </c>
      <c r="F18" s="1053">
        <f>SUBTOTAL(9,F15:F17)</f>
        <v>10322</v>
      </c>
      <c r="G18" s="1055" t="str">
        <f ca="1">INDIRECT(CONCATENATE("G",ROW()-1))</f>
        <v>37</v>
      </c>
      <c r="H18" s="1056">
        <f ca="1">SUMIF(G$14:G17,G18,H$14:H17)</f>
        <v>398</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2577</v>
      </c>
      <c r="D19" s="1074">
        <f>SUBTOTAL(9,D9:D18)</f>
        <v>2606</v>
      </c>
      <c r="E19" s="1075">
        <f>SUBTOTAL(9,E9:E18)</f>
        <v>10711</v>
      </c>
      <c r="F19" s="1075">
        <f>SUBTOTAL(9,F9:F18)</f>
        <v>10536</v>
      </c>
      <c r="G19" s="1076"/>
      <c r="H19" s="1077">
        <f ca="1">SUMIF(B9:B18,"TOTAL",H9:H18)</f>
        <v>398</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D6TGOzbA1cDHTwRzoMF9RGn3US4IwNzuuJ3vXh7mz5fLenw8tmq4ubU8qu9JhS/V4WHtXA6+RloJlq8WTLf8Ww==" saltValue="DBOGd3yhgJCf+yAWi5jB/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TdNM0DhgughoJdHfzdMsvApWJHUV4PHhCRJ1jI0+edoWwWaMwD4b8Pm8jNusGEkVDuz1/Tgnz9OHeZmGanQIzQ==" saltValue="Vn33b9T8Wpuj5ZTJcTd38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v>4340</v>
      </c>
      <c r="J9" s="184">
        <v>9627</v>
      </c>
      <c r="K9" s="184">
        <v>9051</v>
      </c>
      <c r="L9" s="184">
        <v>4945</v>
      </c>
      <c r="M9" s="184">
        <v>2067</v>
      </c>
      <c r="N9" s="184">
        <v>4473</v>
      </c>
      <c r="O9" s="184">
        <v>4531</v>
      </c>
      <c r="P9" s="184">
        <v>2394</v>
      </c>
      <c r="Q9" s="184">
        <v>2596</v>
      </c>
      <c r="R9" s="184">
        <v>9696</v>
      </c>
      <c r="S9" s="184">
        <v>3707</v>
      </c>
      <c r="T9" s="184">
        <v>8687</v>
      </c>
      <c r="U9" s="184">
        <v>8198</v>
      </c>
      <c r="V9" s="184">
        <v>4340</v>
      </c>
      <c r="W9" s="184">
        <v>1855</v>
      </c>
      <c r="X9" s="191">
        <v>3969</v>
      </c>
      <c r="Y9" s="194">
        <v>325</v>
      </c>
      <c r="Z9" s="184">
        <v>982</v>
      </c>
      <c r="AA9" s="184">
        <v>1035</v>
      </c>
      <c r="AB9" s="184">
        <v>272</v>
      </c>
      <c r="AC9" s="184">
        <v>0</v>
      </c>
      <c r="AD9" s="184">
        <v>0</v>
      </c>
      <c r="AE9" s="184">
        <v>0</v>
      </c>
      <c r="AF9" s="191">
        <v>0</v>
      </c>
      <c r="AG9" s="194">
        <v>272</v>
      </c>
      <c r="AH9" s="184">
        <v>1073</v>
      </c>
      <c r="AI9" s="184">
        <v>1013</v>
      </c>
      <c r="AJ9" s="195">
        <v>325</v>
      </c>
      <c r="AK9" s="183">
        <v>0</v>
      </c>
      <c r="AL9" s="184">
        <v>0</v>
      </c>
      <c r="AM9" s="184">
        <v>0</v>
      </c>
      <c r="AN9" s="191">
        <v>0</v>
      </c>
      <c r="AO9" s="261">
        <v>6</v>
      </c>
      <c r="AP9" s="157">
        <v>6</v>
      </c>
      <c r="AQ9" s="157">
        <v>6</v>
      </c>
      <c r="AR9" s="196">
        <v>6</v>
      </c>
      <c r="AS9" s="341" t="s">
        <v>800</v>
      </c>
      <c r="AT9" s="198"/>
      <c r="AU9" s="197"/>
      <c r="AV9" s="198"/>
      <c r="AW9" s="197"/>
      <c r="AX9" s="198"/>
      <c r="AY9" s="123">
        <f>IF(ISNUMBER(IF(J_V="SI",S9,S9+AG9)),IF(J_V="SI",S9,S9+AG9)," - ")</f>
        <v>3979</v>
      </c>
      <c r="AZ9" s="123">
        <f>IF(ISNUMBER(IF(J_V="SI",T9,T9+AH9)),IF(J_V="SI",T9,T9+AH9)," - ")</f>
        <v>9760</v>
      </c>
      <c r="BA9" s="124">
        <f>IF(ISNUMBER(IF(J_V="SI",U9,U9+AI9)),IF(J_V="SI",U9,U9+AI9)," - ")</f>
        <v>9211</v>
      </c>
      <c r="BB9" s="124">
        <f>IF(ISNUMBER(IF(J_V="SI",V9,V9+AJ9)),IF(J_V="SI",V9,V9+AJ9)," - ")</f>
        <v>4665</v>
      </c>
      <c r="BC9" s="125">
        <f>IF(ISNUMBER(X9),X9," - ")</f>
        <v>3969</v>
      </c>
      <c r="BD9" s="126">
        <f>IF(ISNUMBER(BA9/AZ9),BA9/AZ9," - ")</f>
        <v>0.94374999999999998</v>
      </c>
      <c r="BE9" s="127">
        <f>IF(ISNUMBER(BB9/BA9),BB9/BA9, " - ")</f>
        <v>0.5064596677885137</v>
      </c>
      <c r="BF9" s="127">
        <f>IF(ISNUMBER(BC9/BA9),BC9/BA9, " - ")</f>
        <v>0.4308978395396808</v>
      </c>
      <c r="BG9" s="199">
        <f>IF(ISNUMBER((AY9+AZ9)/BA9),(AY9+AZ9)/BA9," - ")</f>
        <v>1.4915861469981544</v>
      </c>
      <c r="BH9" s="157">
        <v>6</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95</v>
      </c>
      <c r="J10" s="184">
        <v>266</v>
      </c>
      <c r="K10" s="184">
        <v>214</v>
      </c>
      <c r="L10" s="184">
        <v>106</v>
      </c>
      <c r="M10" s="184">
        <v>58</v>
      </c>
      <c r="N10" s="184">
        <v>110</v>
      </c>
      <c r="O10" s="184">
        <v>59</v>
      </c>
      <c r="P10" s="184">
        <v>57</v>
      </c>
      <c r="Q10" s="184">
        <v>52</v>
      </c>
      <c r="R10" s="184">
        <v>75</v>
      </c>
      <c r="S10" s="184">
        <v>95</v>
      </c>
      <c r="T10" s="184">
        <v>218</v>
      </c>
      <c r="U10" s="184">
        <v>191</v>
      </c>
      <c r="V10" s="184">
        <v>95</v>
      </c>
      <c r="W10" s="184">
        <v>49</v>
      </c>
      <c r="X10" s="191">
        <v>90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1</v>
      </c>
      <c r="AQ10" s="157">
        <v>1</v>
      </c>
      <c r="AR10" s="158">
        <v>1</v>
      </c>
      <c r="AS10" s="342" t="s">
        <v>794</v>
      </c>
      <c r="AT10" s="195"/>
      <c r="AU10" s="203"/>
      <c r="AV10" s="195"/>
      <c r="AW10" s="203"/>
      <c r="AX10" s="195"/>
      <c r="AY10" s="128">
        <f t="shared" ref="AY10:BC10" si="0">IF(ISNUMBER(S10),S10," - ")</f>
        <v>95</v>
      </c>
      <c r="AZ10" s="129">
        <f t="shared" si="0"/>
        <v>218</v>
      </c>
      <c r="BA10" s="129">
        <f t="shared" si="0"/>
        <v>191</v>
      </c>
      <c r="BB10" s="129">
        <f t="shared" si="0"/>
        <v>95</v>
      </c>
      <c r="BC10" s="125">
        <f t="shared" si="0"/>
        <v>49</v>
      </c>
      <c r="BD10" s="126">
        <f>IF(ISNUMBER(BA10/AZ10),BA10/AZ10," - ")</f>
        <v>0.87614678899082565</v>
      </c>
      <c r="BE10" s="127">
        <f>IF(ISNUMBER(BB10/BA10),BB10/BA10, " - ")</f>
        <v>0.49738219895287961</v>
      </c>
      <c r="BF10" s="127">
        <f>IF(ISNUMBER(BC10/BA10),BC10/BA10, " - ")</f>
        <v>0.25654450261780104</v>
      </c>
      <c r="BG10" s="199">
        <f>IF(ISNUMBER((AY10+AZ10)/BA10),(AY10+AZ10)/BA10," - ")</f>
        <v>1.6387434554973821</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t="s">
        <v>807</v>
      </c>
      <c r="J12" s="186" t="s">
        <v>801</v>
      </c>
      <c r="K12" s="186" t="s">
        <v>852</v>
      </c>
      <c r="L12" s="186" t="s">
        <v>812</v>
      </c>
      <c r="M12" s="186" t="s">
        <v>490</v>
      </c>
      <c r="N12" s="186" t="s">
        <v>505</v>
      </c>
      <c r="O12" s="184" t="s">
        <v>224</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803</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4435</v>
      </c>
      <c r="J13" s="187">
        <f t="shared" si="6"/>
        <v>9893</v>
      </c>
      <c r="K13" s="187">
        <f t="shared" si="6"/>
        <v>9265</v>
      </c>
      <c r="L13" s="187">
        <f t="shared" si="6"/>
        <v>5051</v>
      </c>
      <c r="M13" s="187">
        <f t="shared" si="6"/>
        <v>2125</v>
      </c>
      <c r="N13" s="187">
        <f t="shared" si="6"/>
        <v>4583</v>
      </c>
      <c r="O13" s="187">
        <f t="shared" si="6"/>
        <v>4590</v>
      </c>
      <c r="P13" s="187">
        <f t="shared" si="6"/>
        <v>2451</v>
      </c>
      <c r="Q13" s="187">
        <f t="shared" si="6"/>
        <v>2648</v>
      </c>
      <c r="R13" s="187">
        <f t="shared" si="6"/>
        <v>9771</v>
      </c>
      <c r="S13" s="187">
        <f t="shared" si="6"/>
        <v>3802</v>
      </c>
      <c r="T13" s="187">
        <f t="shared" si="6"/>
        <v>8905</v>
      </c>
      <c r="U13" s="187">
        <f t="shared" si="6"/>
        <v>8389</v>
      </c>
      <c r="V13" s="187">
        <f t="shared" si="6"/>
        <v>4435</v>
      </c>
      <c r="W13" s="187">
        <f t="shared" si="6"/>
        <v>1904</v>
      </c>
      <c r="X13" s="187">
        <f t="shared" si="6"/>
        <v>4059</v>
      </c>
      <c r="Y13" s="187">
        <f t="shared" si="6"/>
        <v>325</v>
      </c>
      <c r="Z13" s="187">
        <f t="shared" si="6"/>
        <v>982</v>
      </c>
      <c r="AA13" s="187">
        <f t="shared" si="6"/>
        <v>1035</v>
      </c>
      <c r="AB13" s="187">
        <f t="shared" si="6"/>
        <v>272</v>
      </c>
      <c r="AC13" s="187">
        <f t="shared" si="6"/>
        <v>0</v>
      </c>
      <c r="AD13" s="187">
        <f t="shared" si="6"/>
        <v>0</v>
      </c>
      <c r="AE13" s="187">
        <f t="shared" si="6"/>
        <v>0</v>
      </c>
      <c r="AF13" s="187">
        <f>SUBTOTAL(9,AF9:AF12)</f>
        <v>0</v>
      </c>
      <c r="AG13" s="187">
        <f t="shared" ref="AG13:AT13" si="7">SUBTOTAL(9,AG8:AG12)</f>
        <v>272</v>
      </c>
      <c r="AH13" s="187">
        <f t="shared" si="7"/>
        <v>1073</v>
      </c>
      <c r="AI13" s="187">
        <f t="shared" si="7"/>
        <v>1013</v>
      </c>
      <c r="AJ13" s="187">
        <f t="shared" si="7"/>
        <v>325</v>
      </c>
      <c r="AK13" s="187">
        <f t="shared" si="7"/>
        <v>0</v>
      </c>
      <c r="AL13" s="187">
        <f t="shared" si="7"/>
        <v>0</v>
      </c>
      <c r="AM13" s="187">
        <f t="shared" si="7"/>
        <v>0</v>
      </c>
      <c r="AN13" s="187">
        <f t="shared" si="7"/>
        <v>0</v>
      </c>
      <c r="AO13" s="187">
        <f t="shared" si="7"/>
        <v>7</v>
      </c>
      <c r="AP13" s="187">
        <f t="shared" si="7"/>
        <v>7</v>
      </c>
      <c r="AQ13" s="187">
        <f t="shared" si="7"/>
        <v>7</v>
      </c>
      <c r="AR13" s="187">
        <f t="shared" si="7"/>
        <v>7</v>
      </c>
      <c r="AS13" s="187">
        <f t="shared" si="7"/>
        <v>0</v>
      </c>
      <c r="AT13" s="187">
        <f t="shared" si="7"/>
        <v>0</v>
      </c>
      <c r="AU13" s="207"/>
      <c r="AV13" s="132"/>
      <c r="AW13" s="207"/>
      <c r="AX13" s="132"/>
      <c r="AY13" s="187">
        <f>SUBTOTAL(9,AY8:AY12)</f>
        <v>4074</v>
      </c>
      <c r="AZ13" s="187">
        <f>SUBTOTAL(9,AZ8:AZ12)</f>
        <v>9978</v>
      </c>
      <c r="BA13" s="187">
        <f>SUBTOTAL(9,BA8:BA12)</f>
        <v>9402</v>
      </c>
      <c r="BB13" s="187">
        <f>SUBTOTAL(9,BB8:BB12)</f>
        <v>4760</v>
      </c>
      <c r="BC13" s="187">
        <f>SUBTOTAL(9,BC8:BC12)</f>
        <v>4018</v>
      </c>
      <c r="BD13" s="208">
        <f>IF(ISNUMBER(BA13/AZ13),BA13/AZ13," - ")</f>
        <v>0.94227300060132291</v>
      </c>
      <c r="BE13" s="209">
        <f>IF(ISNUMBER(BB13/BA13),BB13/BA13, " - ")</f>
        <v>0.50627526058285466</v>
      </c>
      <c r="BF13" s="209">
        <f>IF(ISNUMBER(BC13/BA13),BC13/BA13, " - ")</f>
        <v>0.42735588172729205</v>
      </c>
      <c r="BG13" s="210">
        <f>IF(ISNUMBER((AY13+AZ13)/BA13),(AY13+AZ13)/BA13," - ")</f>
        <v>1.4945756222080409</v>
      </c>
      <c r="BH13" s="143">
        <f>SUBTOTAL(9,BH8:BH12)</f>
        <v>7</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v>2062</v>
      </c>
      <c r="J15" s="186">
        <v>8877</v>
      </c>
      <c r="K15" s="186">
        <v>8710</v>
      </c>
      <c r="L15" s="186">
        <v>2248</v>
      </c>
      <c r="M15" s="186">
        <v>1885</v>
      </c>
      <c r="N15" s="186">
        <v>3844</v>
      </c>
      <c r="O15" s="184">
        <v>580</v>
      </c>
      <c r="P15" s="186">
        <v>902</v>
      </c>
      <c r="Q15" s="186">
        <v>897</v>
      </c>
      <c r="R15" s="186">
        <v>437</v>
      </c>
      <c r="S15" s="186">
        <v>1776</v>
      </c>
      <c r="T15" s="186">
        <v>8664</v>
      </c>
      <c r="U15" s="186">
        <v>8394</v>
      </c>
      <c r="V15" s="186">
        <v>2062</v>
      </c>
      <c r="W15" s="186">
        <v>1697</v>
      </c>
      <c r="X15" s="192">
        <v>4089</v>
      </c>
      <c r="Y15" s="205">
        <v>0</v>
      </c>
      <c r="Z15" s="186">
        <v>0</v>
      </c>
      <c r="AA15" s="186">
        <v>0</v>
      </c>
      <c r="AB15" s="186">
        <v>0</v>
      </c>
      <c r="AC15" s="186">
        <v>0</v>
      </c>
      <c r="AD15" s="186">
        <v>28</v>
      </c>
      <c r="AE15" s="186">
        <v>28</v>
      </c>
      <c r="AF15" s="192">
        <v>0</v>
      </c>
      <c r="AG15" s="205">
        <v>0</v>
      </c>
      <c r="AH15" s="186">
        <v>0</v>
      </c>
      <c r="AI15" s="186">
        <v>0</v>
      </c>
      <c r="AJ15" s="206">
        <v>0</v>
      </c>
      <c r="AK15" s="185">
        <v>0</v>
      </c>
      <c r="AL15" s="186">
        <v>80</v>
      </c>
      <c r="AM15" s="186">
        <v>80</v>
      </c>
      <c r="AN15" s="192">
        <v>0</v>
      </c>
      <c r="AO15" s="262">
        <v>3</v>
      </c>
      <c r="AP15" s="158">
        <v>3</v>
      </c>
      <c r="AQ15" s="158">
        <v>3</v>
      </c>
      <c r="AR15" s="158">
        <v>3</v>
      </c>
      <c r="AS15" s="343" t="s">
        <v>527</v>
      </c>
      <c r="AT15" s="206" t="s">
        <v>326</v>
      </c>
      <c r="AU15" s="205"/>
      <c r="AV15" s="206"/>
      <c r="AW15" s="205"/>
      <c r="AX15" s="206"/>
      <c r="AY15" s="128">
        <f t="shared" ref="AY15:BB16" si="9">IF(ISNUMBER(IF(D_I="SI",S15,S15+AK15)),IF(D_I="SI",S15,S15+AK15)," - ")</f>
        <v>1776</v>
      </c>
      <c r="AZ15" s="129">
        <f t="shared" si="9"/>
        <v>8664</v>
      </c>
      <c r="BA15" s="129">
        <f t="shared" si="9"/>
        <v>8394</v>
      </c>
      <c r="BB15" s="129">
        <f t="shared" si="9"/>
        <v>2062</v>
      </c>
      <c r="BC15" s="125">
        <f>IF(ISNUMBER(W15),W15," - ")</f>
        <v>1697</v>
      </c>
      <c r="BD15" s="126">
        <f>IF(ISNUMBER(BA15/AZ15),BA15/AZ15," - ")</f>
        <v>0.96883656509695293</v>
      </c>
      <c r="BE15" s="127">
        <f>IF(ISNUMBER(BB15/BA15),BB15/BA15, " - ")</f>
        <v>0.24565165594472241</v>
      </c>
      <c r="BF15" s="127">
        <f>IF(ISNUMBER(BC15/BA15),BC15/BA15, " - ")</f>
        <v>0.20216821539194663</v>
      </c>
      <c r="BG15" s="199">
        <f t="shared" ref="BG15:BG16" si="10">IF(ISNUMBER((AY15+AZ15)/BA15),(AY15+AZ15)/BA15," - ")</f>
        <v>1.2437455325232309</v>
      </c>
      <c r="BH15" s="158">
        <v>3</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t="s">
        <v>488</v>
      </c>
      <c r="J16" s="186" t="s">
        <v>484</v>
      </c>
      <c r="K16" s="186" t="s">
        <v>485</v>
      </c>
      <c r="L16" s="186" t="s">
        <v>486</v>
      </c>
      <c r="M16" s="186" t="s">
        <v>491</v>
      </c>
      <c r="N16" s="186" t="s">
        <v>150</v>
      </c>
      <c r="O16" s="184" t="s">
        <v>225</v>
      </c>
      <c r="P16" s="186" t="s">
        <v>470</v>
      </c>
      <c r="Q16" s="186" t="s">
        <v>471</v>
      </c>
      <c r="R16" s="186" t="s">
        <v>472</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487</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449</v>
      </c>
      <c r="J17" s="186">
        <v>1568</v>
      </c>
      <c r="K17" s="186">
        <v>1612</v>
      </c>
      <c r="L17" s="186">
        <v>398</v>
      </c>
      <c r="M17" s="186">
        <v>190</v>
      </c>
      <c r="N17" s="186">
        <v>831</v>
      </c>
      <c r="O17" s="186">
        <v>6</v>
      </c>
      <c r="P17" s="186">
        <v>26</v>
      </c>
      <c r="Q17" s="186">
        <v>15</v>
      </c>
      <c r="R17" s="186">
        <v>12</v>
      </c>
      <c r="S17" s="186">
        <v>346</v>
      </c>
      <c r="T17" s="186">
        <v>1129</v>
      </c>
      <c r="U17" s="186">
        <v>1026</v>
      </c>
      <c r="V17" s="186">
        <v>449</v>
      </c>
      <c r="W17" s="186">
        <v>77</v>
      </c>
      <c r="X17" s="192">
        <v>513</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1</v>
      </c>
      <c r="AQ17" s="157">
        <v>1</v>
      </c>
      <c r="AR17" s="158">
        <v>1</v>
      </c>
      <c r="AS17" s="342" t="s">
        <v>793</v>
      </c>
      <c r="AT17" s="212"/>
      <c r="AU17" s="203"/>
      <c r="AV17" s="212"/>
      <c r="AW17" s="203"/>
      <c r="AX17" s="212"/>
      <c r="AY17" s="128">
        <f t="shared" ref="AY17:BB17" si="14">IF(ISNUMBER(S17),S17," - ")</f>
        <v>346</v>
      </c>
      <c r="AZ17" s="129">
        <f t="shared" si="14"/>
        <v>1129</v>
      </c>
      <c r="BA17" s="129">
        <f t="shared" si="14"/>
        <v>1026</v>
      </c>
      <c r="BB17" s="129">
        <f t="shared" si="14"/>
        <v>449</v>
      </c>
      <c r="BC17" s="125">
        <f>IF(ISNUMBER(W17),W17," - ")</f>
        <v>77</v>
      </c>
      <c r="BD17" s="126">
        <f>IF(ISNUMBER(BA17/AZ17),BA17/AZ17," - ")</f>
        <v>0.9087688219663419</v>
      </c>
      <c r="BE17" s="127">
        <f>IF(ISNUMBER(BB17/BA17),BB17/BA17, " - ")</f>
        <v>0.43762183235867447</v>
      </c>
      <c r="BF17" s="127">
        <f>IF(ISNUMBER(BC17/BA17),BC17/BA17, " - ")</f>
        <v>7.5048732943469781E-2</v>
      </c>
      <c r="BG17" s="199">
        <f>IF(ISNUMBER((AY17+AZ17)/BA17),(AY17+AZ17)/BA17," - ")</f>
        <v>1.4376218323586745</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2511</v>
      </c>
      <c r="J18" s="187">
        <f t="shared" si="15"/>
        <v>10445</v>
      </c>
      <c r="K18" s="187">
        <f t="shared" si="15"/>
        <v>10322</v>
      </c>
      <c r="L18" s="187">
        <f t="shared" si="15"/>
        <v>2646</v>
      </c>
      <c r="M18" s="187">
        <f t="shared" si="15"/>
        <v>2075</v>
      </c>
      <c r="N18" s="187">
        <f t="shared" si="15"/>
        <v>4675</v>
      </c>
      <c r="O18" s="187">
        <f t="shared" si="15"/>
        <v>586</v>
      </c>
      <c r="P18" s="187">
        <f t="shared" si="15"/>
        <v>928</v>
      </c>
      <c r="Q18" s="187">
        <f t="shared" si="15"/>
        <v>912</v>
      </c>
      <c r="R18" s="187">
        <f t="shared" si="15"/>
        <v>449</v>
      </c>
      <c r="S18" s="187">
        <f t="shared" si="15"/>
        <v>2122</v>
      </c>
      <c r="T18" s="187">
        <f t="shared" si="15"/>
        <v>9793</v>
      </c>
      <c r="U18" s="187">
        <f t="shared" si="15"/>
        <v>9420</v>
      </c>
      <c r="V18" s="187">
        <f t="shared" si="15"/>
        <v>2511</v>
      </c>
      <c r="W18" s="187">
        <f t="shared" si="15"/>
        <v>1774</v>
      </c>
      <c r="X18" s="187">
        <f t="shared" si="15"/>
        <v>4602</v>
      </c>
      <c r="Y18" s="187">
        <f t="shared" si="15"/>
        <v>0</v>
      </c>
      <c r="Z18" s="187">
        <f t="shared" si="15"/>
        <v>0</v>
      </c>
      <c r="AA18" s="187">
        <f t="shared" si="15"/>
        <v>0</v>
      </c>
      <c r="AB18" s="187">
        <f t="shared" si="15"/>
        <v>0</v>
      </c>
      <c r="AC18" s="187">
        <f t="shared" si="15"/>
        <v>0</v>
      </c>
      <c r="AD18" s="187">
        <f t="shared" si="15"/>
        <v>28</v>
      </c>
      <c r="AE18" s="187">
        <f t="shared" si="15"/>
        <v>28</v>
      </c>
      <c r="AF18" s="187">
        <f t="shared" si="15"/>
        <v>0</v>
      </c>
      <c r="AG18" s="187">
        <f t="shared" si="15"/>
        <v>0</v>
      </c>
      <c r="AH18" s="187">
        <f t="shared" si="15"/>
        <v>0</v>
      </c>
      <c r="AI18" s="187">
        <f t="shared" si="15"/>
        <v>0</v>
      </c>
      <c r="AJ18" s="187">
        <f t="shared" si="15"/>
        <v>0</v>
      </c>
      <c r="AK18" s="187">
        <f t="shared" si="15"/>
        <v>0</v>
      </c>
      <c r="AL18" s="187">
        <f t="shared" si="15"/>
        <v>80</v>
      </c>
      <c r="AM18" s="187">
        <f t="shared" si="15"/>
        <v>80</v>
      </c>
      <c r="AN18" s="187">
        <f t="shared" si="15"/>
        <v>0</v>
      </c>
      <c r="AO18" s="187">
        <f t="shared" si="15"/>
        <v>4</v>
      </c>
      <c r="AP18" s="187">
        <f t="shared" si="15"/>
        <v>4</v>
      </c>
      <c r="AQ18" s="187">
        <f t="shared" si="15"/>
        <v>4</v>
      </c>
      <c r="AR18" s="187">
        <f t="shared" si="15"/>
        <v>4</v>
      </c>
      <c r="AS18" s="187">
        <f t="shared" si="15"/>
        <v>0</v>
      </c>
      <c r="AT18" s="187">
        <f t="shared" si="15"/>
        <v>0</v>
      </c>
      <c r="AU18" s="207"/>
      <c r="AV18" s="132"/>
      <c r="AW18" s="207"/>
      <c r="AX18" s="132"/>
      <c r="AY18" s="187">
        <f>SUBTOTAL(9,AY14:AY17)</f>
        <v>2122</v>
      </c>
      <c r="AZ18" s="187">
        <f>SUBTOTAL(9,AZ14:AZ17)</f>
        <v>9793</v>
      </c>
      <c r="BA18" s="187">
        <f>SUBTOTAL(9,BA14:BA17)</f>
        <v>9420</v>
      </c>
      <c r="BB18" s="187">
        <f>SUBTOTAL(9,BB14:BB17)</f>
        <v>2511</v>
      </c>
      <c r="BC18" s="187">
        <f>SUBTOTAL(9,BC14:BC17)</f>
        <v>1774</v>
      </c>
      <c r="BD18" s="208">
        <f>IF(ISNUMBER(BA18/AZ18),BA18/AZ18," - ")</f>
        <v>0.96191156948841006</v>
      </c>
      <c r="BE18" s="209">
        <f>IF(ISNUMBER(BB18/BA18),BB18/BA18, " - ")</f>
        <v>0.26656050955414012</v>
      </c>
      <c r="BF18" s="209">
        <f>IF(ISNUMBER(BC18/BA18),BC18/BA18, " - ")</f>
        <v>0.18832271762208069</v>
      </c>
      <c r="BG18" s="210">
        <f>IF(ISNUMBER((AY18+AZ18)/BA18),(AY18+AZ18)/BA18," - ")</f>
        <v>1.2648619957537155</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6946</v>
      </c>
      <c r="J19" s="134">
        <f t="shared" si="18"/>
        <v>20338</v>
      </c>
      <c r="K19" s="134">
        <f t="shared" si="18"/>
        <v>19587</v>
      </c>
      <c r="L19" s="134">
        <f t="shared" si="18"/>
        <v>7697</v>
      </c>
      <c r="M19" s="134">
        <f t="shared" si="18"/>
        <v>4200</v>
      </c>
      <c r="N19" s="134">
        <f t="shared" si="18"/>
        <v>9258</v>
      </c>
      <c r="O19" s="134">
        <f t="shared" si="18"/>
        <v>5176</v>
      </c>
      <c r="P19" s="134">
        <f t="shared" si="18"/>
        <v>3379</v>
      </c>
      <c r="Q19" s="134">
        <f t="shared" si="18"/>
        <v>3560</v>
      </c>
      <c r="R19" s="134">
        <f t="shared" si="18"/>
        <v>10220</v>
      </c>
      <c r="S19" s="134">
        <f t="shared" si="18"/>
        <v>5924</v>
      </c>
      <c r="T19" s="134">
        <f t="shared" si="18"/>
        <v>18698</v>
      </c>
      <c r="U19" s="134">
        <f t="shared" si="18"/>
        <v>17809</v>
      </c>
      <c r="V19" s="134">
        <f t="shared" si="18"/>
        <v>6946</v>
      </c>
      <c r="W19" s="134">
        <f t="shared" si="18"/>
        <v>3678</v>
      </c>
      <c r="X19" s="134">
        <f t="shared" si="18"/>
        <v>8661</v>
      </c>
      <c r="Y19" s="134">
        <f t="shared" si="18"/>
        <v>325</v>
      </c>
      <c r="Z19" s="134">
        <f t="shared" si="18"/>
        <v>982</v>
      </c>
      <c r="AA19" s="134">
        <f t="shared" si="18"/>
        <v>1035</v>
      </c>
      <c r="AB19" s="134">
        <f t="shared" si="18"/>
        <v>272</v>
      </c>
      <c r="AC19" s="134">
        <f t="shared" si="18"/>
        <v>0</v>
      </c>
      <c r="AD19" s="134">
        <f t="shared" si="18"/>
        <v>28</v>
      </c>
      <c r="AE19" s="134">
        <f t="shared" si="18"/>
        <v>28</v>
      </c>
      <c r="AF19" s="134">
        <f t="shared" si="18"/>
        <v>0</v>
      </c>
      <c r="AG19" s="134">
        <f t="shared" si="18"/>
        <v>272</v>
      </c>
      <c r="AH19" s="134">
        <f t="shared" si="18"/>
        <v>1073</v>
      </c>
      <c r="AI19" s="134">
        <f t="shared" si="18"/>
        <v>1013</v>
      </c>
      <c r="AJ19" s="134">
        <f t="shared" si="18"/>
        <v>325</v>
      </c>
      <c r="AK19" s="134">
        <f t="shared" si="18"/>
        <v>0</v>
      </c>
      <c r="AL19" s="134">
        <f t="shared" si="18"/>
        <v>80</v>
      </c>
      <c r="AM19" s="134">
        <f t="shared" si="18"/>
        <v>80</v>
      </c>
      <c r="AN19" s="213">
        <f t="shared" si="18"/>
        <v>0</v>
      </c>
      <c r="AO19" s="214">
        <v>10</v>
      </c>
      <c r="AP19" s="214">
        <v>10</v>
      </c>
      <c r="AQ19" s="214">
        <v>10</v>
      </c>
      <c r="AR19" s="214">
        <v>10</v>
      </c>
      <c r="AS19" s="156">
        <f t="shared" si="18"/>
        <v>0</v>
      </c>
      <c r="AT19" s="156">
        <f t="shared" si="18"/>
        <v>0</v>
      </c>
      <c r="AU19" s="214"/>
      <c r="AV19" s="215"/>
      <c r="AW19" s="214"/>
      <c r="AX19" s="215"/>
      <c r="AY19" s="133">
        <f>SUBTOTAL(9,AY9:AY18)</f>
        <v>6196</v>
      </c>
      <c r="AZ19" s="134">
        <f>SUBTOTAL(9,AZ9:AZ18)</f>
        <v>19771</v>
      </c>
      <c r="BA19" s="134">
        <f>SUBTOTAL(9,BA9:BA18)</f>
        <v>18822</v>
      </c>
      <c r="BB19" s="134">
        <f>SUBTOTAL(9,BB9:BB18)</f>
        <v>7271</v>
      </c>
      <c r="BC19" s="135">
        <f>SUBTOTAL(9,BC9:BC18)</f>
        <v>5792</v>
      </c>
      <c r="BD19" s="216">
        <f>IF(ISNUMBER(BA19/AZ19),BA19/AZ19," - ")</f>
        <v>0.95200040463304836</v>
      </c>
      <c r="BE19" s="213">
        <f>IF(ISNUMBER(BB19/BA19),BB19/BA19, " - ")</f>
        <v>0.3863032621400489</v>
      </c>
      <c r="BF19" s="213">
        <f>IF(ISNUMBER(BC19/BA19),BC19/BA19, " - ")</f>
        <v>0.30772500265646585</v>
      </c>
      <c r="BG19" s="135">
        <f>IF(ISNUMBER((AY19+AZ19)/BA19),(AY19+AZ19)/BA19," - ")</f>
        <v>1.3796089682286685</v>
      </c>
      <c r="BH19" s="214">
        <f>SUBTOTAL(9,BH9:BH18)</f>
        <v>11</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1S8cp9h4uHuvGn+bl3hz20DqaqlJWMfXzlUYXra935dwgknEbyC4OFIBeDn0hpO6lxG+UFIdtzF4JNVhpqzl4w==" saltValue="cX5CIxhrUJNsKF5Ckr5LE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nEc5waJbpmmGD/vJmXOAQ9yQFQ+g4Rx8KPic74KC7htBEjOzTznX6gOMu6OH/dBi+B9J/ICP1fduqy4omrsyA==" saltValue="2RMvkydKcqwN8XspLNl4G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COMUNIDAD VALENCIANA</v>
      </c>
    </row>
    <row r="2" spans="1:74" ht="16.5" customHeight="1">
      <c r="C2" s="491" t="str">
        <f>Criterios!A10 &amp;"  "&amp;Criterios!B10 &amp; "  " &amp; IF(NOT(ISBLANK(Criterios!A11)),Criterios!A11 &amp;"  "&amp;Criterios!B11,"")</f>
        <v>Provincias  VALENCIA  Resumenes por Partidos Judiciales  TORRENT</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6</v>
      </c>
      <c r="B9" s="504" t="s">
        <v>246</v>
      </c>
      <c r="C9" s="163" t="str">
        <f>Datos!A9</f>
        <v xml:space="preserve">Jdos. 1ª Instancia   </v>
      </c>
      <c r="D9" s="505"/>
      <c r="E9" s="263">
        <f>IF(ISNUMBER(Datos!AQ9),Datos!AQ9," - ")</f>
        <v>6</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982</v>
      </c>
      <c r="O9" s="337"/>
      <c r="P9" s="337"/>
      <c r="Q9" s="229">
        <f>IF(ISNUMBER(Datos!P9),Datos!P9,0)</f>
        <v>2394</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2596</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272</v>
      </c>
      <c r="AI9" s="337" t="str">
        <f>IF(ISNUMBER(Datos!CD9),Datos!CD9,"-")</f>
        <v>-</v>
      </c>
      <c r="AJ9" s="337" t="str">
        <f>IF(ISNUMBER(Datos!EN9),Datos!EN9," - ")</f>
        <v xml:space="preserve"> - </v>
      </c>
      <c r="AK9" s="337"/>
      <c r="AL9" s="482"/>
      <c r="AM9" s="338">
        <f>IF(ISNUMBER(Datos!R9),Datos!R9," - ")</f>
        <v>9696</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2067</v>
      </c>
      <c r="BD9" s="232">
        <f>IF(ISNUMBER(Datos!N9),Datos!N9," - ")</f>
        <v>4473</v>
      </c>
      <c r="BE9" s="232" t="str">
        <f>IF(ISNUMBER(Datos!BW9),Datos!BW9," - ")</f>
        <v xml:space="preserve"> - </v>
      </c>
      <c r="BF9" s="231" t="str">
        <f>IF(ISNUMBER(Datos!BX9),Datos!BX9," - ")</f>
        <v xml:space="preserve"> - </v>
      </c>
      <c r="BG9" s="246">
        <f>IF(ISNUMBER(IF(J_V="SI",Datos!K9/Datos!J9,(Datos!K9+Datos!AA9)/(Datos!J9+Datos!Z9))),IF(J_V="SI",Datos!K9/Datos!J9,(Datos!K9+Datos!AA9)/(Datos!J9+Datos!Z9))," - ")</f>
        <v>0.95070223395230469</v>
      </c>
      <c r="BH9" s="263">
        <f>IF(ISNUMBER(((IF(J_V="SI",Datos!L9/Datos!K9,(Datos!L9+Datos!AB9)/(Datos!K9+Datos!AA9)))*11)/factor_trimestre),((IF(J_V="SI",Datos!L9/Datos!K9,(Datos!L9+Datos!AB9)/(Datos!K9+Datos!AA9)))*11)/factor_trimestre," - ")</f>
        <v>5.6897679952409277</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-2.0408163265306121E-2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1</v>
      </c>
      <c r="F10" s="228">
        <f>IF(ISNUMBER(Datos!L10+Datos!K10-Datos!J10),Datos!L10+Datos!K10-Datos!J10," - ")</f>
        <v>54</v>
      </c>
      <c r="G10" s="336">
        <f>IF(ISNUMBER(Datos!I10),Datos!I10," - ")</f>
        <v>95</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57</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214</v>
      </c>
      <c r="AC10" s="229">
        <f>IF(ISNUMBER(Datos!Q10),Datos!Q10," - ")</f>
        <v>52</v>
      </c>
      <c r="AD10" s="337"/>
      <c r="AE10" s="487"/>
      <c r="AF10" s="335">
        <f>IF(ISNUMBER(Datos!L10),Datos!L10,"-")</f>
        <v>106</v>
      </c>
      <c r="AG10" s="337"/>
      <c r="AH10" s="337"/>
      <c r="AI10" s="337"/>
      <c r="AJ10" s="337"/>
      <c r="AK10" s="337"/>
      <c r="AL10" s="482"/>
      <c r="AM10" s="338">
        <f>IF(ISNUMBER(Datos!R10),Datos!R10," - ")</f>
        <v>75</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58</v>
      </c>
      <c r="BD10" s="232">
        <f>IF(ISNUMBER(Datos!N10),Datos!N10," - ")</f>
        <v>110</v>
      </c>
      <c r="BE10" s="232" t="str">
        <f>IF(ISNUMBER(Datos!BW10),Datos!BW10," - ")</f>
        <v xml:space="preserve"> - </v>
      </c>
      <c r="BF10" s="231" t="str">
        <f>IF(ISNUMBER(Datos!BX10),Datos!BX10," - ")</f>
        <v xml:space="preserve"> - </v>
      </c>
      <c r="BG10" s="246">
        <f>IF(ISNUMBER(Datos!K10/Datos!J10),Datos!K10/Datos!J10," - ")</f>
        <v>0.80451127819548873</v>
      </c>
      <c r="BH10" s="263">
        <f>IF(ISNUMBER(((Datos!L10/Datos!K10)*11)/factor_trimestre),((Datos!L10/Datos!K10)*11)/factor_trimestre," - ")</f>
        <v>5.4485981308411215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7.1428571428571425E-2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0</v>
      </c>
      <c r="B12" s="510" t="s">
        <v>246</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7</v>
      </c>
      <c r="F13" s="901">
        <f t="shared" si="0"/>
        <v>54</v>
      </c>
      <c r="G13" s="901">
        <f t="shared" si="0"/>
        <v>95</v>
      </c>
      <c r="H13" s="902">
        <f t="shared" si="0"/>
        <v>0</v>
      </c>
      <c r="I13" s="901">
        <f t="shared" si="0"/>
        <v>0</v>
      </c>
      <c r="J13" s="870">
        <f t="shared" si="0"/>
        <v>0</v>
      </c>
      <c r="K13" s="870">
        <f t="shared" si="0"/>
        <v>0</v>
      </c>
      <c r="L13" s="902">
        <f t="shared" si="0"/>
        <v>0</v>
      </c>
      <c r="M13" s="902">
        <f t="shared" si="0"/>
        <v>0</v>
      </c>
      <c r="N13" s="902">
        <f t="shared" si="0"/>
        <v>982</v>
      </c>
      <c r="O13" s="903">
        <f t="shared" si="0"/>
        <v>0</v>
      </c>
      <c r="P13" s="903">
        <f t="shared" si="0"/>
        <v>0</v>
      </c>
      <c r="Q13" s="902">
        <f t="shared" si="0"/>
        <v>2451</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214</v>
      </c>
      <c r="AC13" s="902">
        <f t="shared" si="1"/>
        <v>2648</v>
      </c>
      <c r="AD13" s="902">
        <f t="shared" si="1"/>
        <v>0</v>
      </c>
      <c r="AE13" s="902">
        <f t="shared" si="1"/>
        <v>0</v>
      </c>
      <c r="AF13" s="902">
        <f t="shared" si="1"/>
        <v>106</v>
      </c>
      <c r="AG13" s="902">
        <f t="shared" si="1"/>
        <v>0</v>
      </c>
      <c r="AH13" s="902">
        <f t="shared" si="1"/>
        <v>272</v>
      </c>
      <c r="AI13" s="902">
        <f t="shared" si="1"/>
        <v>0</v>
      </c>
      <c r="AJ13" s="902">
        <f t="shared" si="1"/>
        <v>0</v>
      </c>
      <c r="AK13" s="902">
        <f t="shared" si="1"/>
        <v>0</v>
      </c>
      <c r="AL13" s="902">
        <f t="shared" si="1"/>
        <v>0</v>
      </c>
      <c r="AM13" s="902">
        <f t="shared" si="1"/>
        <v>9771</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2125</v>
      </c>
      <c r="BD13" s="902">
        <f t="shared" si="1"/>
        <v>4583</v>
      </c>
      <c r="BE13" s="902">
        <f t="shared" si="1"/>
        <v>0</v>
      </c>
      <c r="BF13" s="902">
        <f t="shared" si="1"/>
        <v>0</v>
      </c>
      <c r="BG13" s="902">
        <f>IF(ISNUMBER(Datos!K13/Datos!J13),Datos!K13/Datos!J13," - ")</f>
        <v>0.93652077226321639</v>
      </c>
      <c r="BH13" s="906">
        <f>IF(ISNUMBER(((Datos!L13/Datos!K13)*11)/factor_trimestre),((Datos!L13/Datos!K13)*11)/factor_trimestre," - ")</f>
        <v>5.9968699406368051</v>
      </c>
      <c r="BI13" s="902">
        <f>IF(ISNUMBER('Resol  Asuntos'!D13/NºAsuntos!G13),'Resol  Asuntos'!D13/NºAsuntos!G13," - ")</f>
        <v>0.20631067961165048</v>
      </c>
      <c r="BJ13" s="902" t="str">
        <f>IF(ISNUMBER(Datos!CI13/Datos!CJ13),Datos!CI13/Datos!CJ13," - ")</f>
        <v xml:space="preserve"> - </v>
      </c>
      <c r="BK13" s="902">
        <f>SUBTOTAL(9,BK8:BK12)</f>
        <v>0</v>
      </c>
      <c r="BL13" s="902">
        <f>IF(ISNUMBER((I13-AB13+L13)/(F13)),(I13-AB13+L13)/(F13)," - ")</f>
        <v>-3.9629629629629628</v>
      </c>
      <c r="BM13" s="907">
        <f>SUBTOTAL(9,BM9:BM12)</f>
        <v>5.1020408163265307E-2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3</v>
      </c>
      <c r="B15" s="597" t="s">
        <v>396</v>
      </c>
      <c r="C15" s="603" t="str">
        <f>Datos!A15</f>
        <v xml:space="preserve">Jdos. Instrucción                               </v>
      </c>
      <c r="D15" s="604"/>
      <c r="E15" s="1168">
        <f>IF(ISNUMBER(Datos!AQ15),Datos!AQ15," - ")</f>
        <v>3</v>
      </c>
      <c r="F15" s="598">
        <f>IF(ISNUMBER(AF15+AB15-Datos!J15-L15),AF15+AB15-Datos!J15-L15," - ")</f>
        <v>2081</v>
      </c>
      <c r="G15" s="601">
        <f>IF(ISNUMBER(IF(D_I="SI",Datos!I15,Datos!I15+Datos!AC15)),IF(D_I="SI",Datos!I15,Datos!I15+Datos!AC15)," - ")</f>
        <v>2062</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902</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8710</v>
      </c>
      <c r="AC15" s="229">
        <f>IF(ISNUMBER(Datos!Q15),Datos!Q15," - ")</f>
        <v>897</v>
      </c>
      <c r="AD15" s="337"/>
      <c r="AE15" s="487"/>
      <c r="AF15" s="599">
        <f>IF(ISNUMBER(IF(D_I="SI",Datos!L15,Datos!L15+Datos!AF15)),IF(D_I="SI",Datos!L15,Datos!L15+Datos!AF15)," - ")</f>
        <v>2248</v>
      </c>
      <c r="AG15" s="337"/>
      <c r="AH15" s="337"/>
      <c r="AI15" s="337"/>
      <c r="AJ15" s="337"/>
      <c r="AK15" s="337"/>
      <c r="AL15" s="482"/>
      <c r="AM15" s="338">
        <f>IF(ISNUMBER(Datos!R15),Datos!R15," - ")</f>
        <v>437</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1885</v>
      </c>
      <c r="BD15" s="232">
        <f>IF(ISNUMBER(Datos!N15),Datos!N15," - ")</f>
        <v>3844</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0.98118733806466152</v>
      </c>
      <c r="BH15" s="263">
        <f>IF(ISNUMBER(((IF(D_I="SI",Datos!L15/Datos!K15,(Datos!L15+Datos!AF15)/(Datos!K15+Datos!AE15)))*11)/factor_trimestre),((IF(D_I="SI",Datos!L15/Datos!K15,(Datos!L15+Datos!AF15)/(Datos!K15+Datos!AE15)))*11)/factor_trimestre," - ")</f>
        <v>2.8390355912743974</v>
      </c>
      <c r="BI15" s="246">
        <f>IF(ISNUMBER('Resol  Asuntos'!D15/NºAsuntos!G15),'Resol  Asuntos'!D15/NºAsuntos!G15," - ")</f>
        <v>0.21641791044776118</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0</v>
      </c>
      <c r="B16" s="597" t="s">
        <v>396</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449</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26</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1612</v>
      </c>
      <c r="AC17" s="229">
        <f>IF(ISNUMBER(Datos!Q17),Datos!Q17," - ")</f>
        <v>15</v>
      </c>
      <c r="AD17" s="337"/>
      <c r="AE17" s="487"/>
      <c r="AF17" s="335">
        <f>IF(ISNUMBER(Datos!L17),Datos!L17,"-")</f>
        <v>398</v>
      </c>
      <c r="AG17" s="337"/>
      <c r="AH17" s="337"/>
      <c r="AI17" s="337"/>
      <c r="AJ17" s="337"/>
      <c r="AK17" s="337"/>
      <c r="AL17" s="482"/>
      <c r="AM17" s="338">
        <f>IF(ISNUMBER(Datos!R17),Datos!R17," - ")</f>
        <v>12</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190</v>
      </c>
      <c r="BD17" s="232">
        <f>IF(ISNUMBER(Datos!N17),Datos!N17," - ")</f>
        <v>831</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1.028061224489796</v>
      </c>
      <c r="BH17" s="263">
        <f>IF(ISNUMBER(((IF(D_I="SI",Datos!L17/Datos!K17,(Datos!L17+Datos!AF17)/(Datos!K17+Datos!AE17)))*11)/factor_trimestre),((IF(D_I="SI",Datos!L17/Datos!K17,(Datos!L17+Datos!AF17)/(Datos!K17+Datos!AE17)))*11)/factor_trimestre," - ")</f>
        <v>2.7158808933002483</v>
      </c>
      <c r="BI17" s="246">
        <f>IF(ISNUMBER('Resol  Asuntos'!D17/NºAsuntos!G17),'Resol  Asuntos'!D17/NºAsuntos!G17," - ")</f>
        <v>0.11786600496277916</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4</v>
      </c>
      <c r="F18" s="901">
        <f>SUBTOTAL(9,F15:F17)</f>
        <v>2081</v>
      </c>
      <c r="G18" s="901">
        <f>SUBTOTAL(9,G15:G17)</f>
        <v>2511</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928</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10322</v>
      </c>
      <c r="AC18" s="902">
        <f t="shared" si="4"/>
        <v>912</v>
      </c>
      <c r="AD18" s="902">
        <f t="shared" si="4"/>
        <v>0</v>
      </c>
      <c r="AE18" s="902">
        <f t="shared" si="4"/>
        <v>0</v>
      </c>
      <c r="AF18" s="902">
        <f t="shared" si="4"/>
        <v>2646</v>
      </c>
      <c r="AG18" s="902">
        <f t="shared" si="4"/>
        <v>0</v>
      </c>
      <c r="AH18" s="902">
        <f t="shared" si="4"/>
        <v>0</v>
      </c>
      <c r="AI18" s="902">
        <f t="shared" si="4"/>
        <v>0</v>
      </c>
      <c r="AJ18" s="902">
        <f t="shared" si="4"/>
        <v>0</v>
      </c>
      <c r="AK18" s="902">
        <f t="shared" si="4"/>
        <v>0</v>
      </c>
      <c r="AL18" s="902">
        <f t="shared" si="4"/>
        <v>0</v>
      </c>
      <c r="AM18" s="902">
        <f t="shared" si="4"/>
        <v>449</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2075</v>
      </c>
      <c r="BD18" s="902">
        <f t="shared" si="4"/>
        <v>4675</v>
      </c>
      <c r="BE18" s="902">
        <f t="shared" si="4"/>
        <v>0</v>
      </c>
      <c r="BF18" s="902">
        <f t="shared" si="4"/>
        <v>0</v>
      </c>
      <c r="BG18" s="902">
        <f>IF(ISNUMBER(Datos!K18/Datos!J18),Datos!K18/Datos!J18," - ")</f>
        <v>0.9882240306366683</v>
      </c>
      <c r="BH18" s="906">
        <f>IF(ISNUMBER(((Datos!L18/Datos!K18)*11)/factor_trimestre),((Datos!L18/Datos!K18)*11)/factor_trimestre," - ")</f>
        <v>2.8198023638829688</v>
      </c>
      <c r="BI18" s="902">
        <f>SUBTOTAL(9,BI15:BI17)</f>
        <v>0.33428391541054037</v>
      </c>
      <c r="BJ18" s="902">
        <f>SUBTOTAL(9,BJ15:BJ17)</f>
        <v>0</v>
      </c>
      <c r="BK18" s="902">
        <f>SUBTOTAL(9,BK15:BK17)</f>
        <v>0</v>
      </c>
      <c r="BL18" s="902">
        <f>IF(ISNUMBER((I18-AB18+L18)/(F18)),(I18-AB18+L18)/(F18)," - ")</f>
        <v>-4.9601153291686693</v>
      </c>
      <c r="BM18" s="908">
        <f>IF(ISNUMBER((Datos!P18-Datos!Q18)/(Datos!R18-Datos!P18+Datos!Q18)),(Datos!P18-Datos!Q18)/(Datos!R18-Datos!P18+Datos!Q18)," - ")</f>
        <v>3.695150115473441E-2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11</v>
      </c>
      <c r="F19" s="823">
        <f t="shared" si="6"/>
        <v>2135</v>
      </c>
      <c r="G19" s="823">
        <f t="shared" si="6"/>
        <v>2606</v>
      </c>
      <c r="H19" s="825">
        <f t="shared" si="6"/>
        <v>0</v>
      </c>
      <c r="I19" s="823">
        <f t="shared" si="6"/>
        <v>0</v>
      </c>
      <c r="J19" s="825">
        <f t="shared" si="6"/>
        <v>0</v>
      </c>
      <c r="K19" s="825">
        <f t="shared" si="6"/>
        <v>0</v>
      </c>
      <c r="L19" s="884">
        <f t="shared" si="6"/>
        <v>0</v>
      </c>
      <c r="M19" s="884">
        <f t="shared" si="6"/>
        <v>0</v>
      </c>
      <c r="N19" s="884">
        <f t="shared" si="6"/>
        <v>982</v>
      </c>
      <c r="O19" s="884">
        <f t="shared" si="6"/>
        <v>0</v>
      </c>
      <c r="P19" s="884">
        <f t="shared" si="6"/>
        <v>0</v>
      </c>
      <c r="Q19" s="825">
        <f t="shared" si="6"/>
        <v>3379</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10536</v>
      </c>
      <c r="AC19" s="824">
        <f t="shared" si="7"/>
        <v>3560</v>
      </c>
      <c r="AD19" s="824">
        <f t="shared" si="7"/>
        <v>0</v>
      </c>
      <c r="AE19" s="824">
        <f t="shared" si="7"/>
        <v>0</v>
      </c>
      <c r="AF19" s="831">
        <f t="shared" si="7"/>
        <v>2752</v>
      </c>
      <c r="AG19" s="831">
        <f t="shared" si="7"/>
        <v>0</v>
      </c>
      <c r="AH19" s="831">
        <f t="shared" si="7"/>
        <v>272</v>
      </c>
      <c r="AI19" s="831">
        <f t="shared" si="7"/>
        <v>0</v>
      </c>
      <c r="AJ19" s="824">
        <f t="shared" si="7"/>
        <v>0</v>
      </c>
      <c r="AK19" s="831">
        <f t="shared" si="7"/>
        <v>0</v>
      </c>
      <c r="AL19" s="831">
        <f t="shared" si="7"/>
        <v>0</v>
      </c>
      <c r="AM19" s="831">
        <f t="shared" si="7"/>
        <v>10220</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4200</v>
      </c>
      <c r="BD19" s="823">
        <f t="shared" si="7"/>
        <v>9258</v>
      </c>
      <c r="BE19" s="823">
        <f t="shared" si="7"/>
        <v>0</v>
      </c>
      <c r="BF19" s="833">
        <f t="shared" si="7"/>
        <v>0</v>
      </c>
      <c r="BG19" s="918">
        <f>IF(ISNUMBER(Datos!K19/Datos!J19),Datos!K19/Datos!J19," - ")</f>
        <v>0.96307404857901469</v>
      </c>
      <c r="BH19" s="918">
        <f>IF(ISNUMBER(((Datos!L19/Datos!K19)*11)/factor_trimestre),((Datos!L19/Datos!K19)*11)/factor_trimestre," - ")</f>
        <v>4.322611936488487</v>
      </c>
      <c r="BI19" s="816">
        <f>IF(ISNUMBER(Datos!J19/Datos!I19),Datos!J19/Datos!I19," - ")</f>
        <v>2.9280161243881371</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-4.934894613583138</v>
      </c>
      <c r="BM19" s="892">
        <f>IF(ISNUMBER((Datos!P19-Datos!Q19+R19)/(Datos!R19-Datos!P19+Datos!Q19-R19)),(Datos!P19-Datos!Q19+R19)/(Datos!R19-Datos!P19+Datos!Q19-R19)," - ")</f>
        <v>-1.7402172867993462E-2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1042.4000000000001</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2.6977356760397742</v>
      </c>
      <c r="F21" s="554">
        <f>IF(ISNUMBER(STDEV(F8:F18)),STDEV(F8:F18),"-")</f>
        <v>1170.2889956473714</v>
      </c>
      <c r="G21" s="555">
        <f>IF(ISNUMBER(STDEV(G8:G18)),STDEV(G8:G18),"-")</f>
        <v>1155.8143449533752</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4906.4264796285288</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992.61553483712919</v>
      </c>
      <c r="BD21" s="554"/>
      <c r="BE21" s="554">
        <f>IF(ISNUMBER(STDEV(BE8:BE18)),STDEV(BE8:BE18),"-")</f>
        <v>0</v>
      </c>
      <c r="BF21" s="559">
        <f>IF(ISNUMBER(STDEV(BF8:BF18)),STDEV(BF8:BF18),"-")</f>
        <v>0</v>
      </c>
      <c r="BG21" s="778">
        <f>IF(ISNUMBER(STDEV(BG8:BG18)),STDEV(BG8:BG18),"-")</f>
        <v>7.7274856168377565E-2</v>
      </c>
      <c r="BH21" s="779">
        <f>IF(ISNUMBER(STDEV(BH8:BH18)),STDEV(BH8:BH18),"-")</f>
        <v>1.6094045300507926</v>
      </c>
      <c r="BI21" s="252">
        <f>IF(ISNUMBER(STDEV(BI8:BI18)),STDEV(BI8:BI18),"-")</f>
        <v>8.8855383832822779E-2</v>
      </c>
      <c r="BJ21" s="233" t="str">
        <f>IF(ISNUMBER(BL21/BM21),BL21/BM21," - ")</f>
        <v xml:space="preserve"> - </v>
      </c>
      <c r="BK21" s="578"/>
      <c r="BL21" s="562">
        <f>IF(ISNUMBER(STDEV(BL8:BL18)),STDEV(BL8:BL18),"-")</f>
        <v>0.7050932000202742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TtW0VkAOGpPY6CVLI6+oyt+cM1iNMJi193tAfyuym+6Nsr9EPylAPOSYF03R1qhdb9SWH/2zVyzuVReNgEkXRQ==" saltValue="gMqNezX3nQtXJihLTi030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COMUNIDAD VALENCIANA</v>
      </c>
    </row>
    <row r="2" spans="1:73" ht="16.5" customHeight="1">
      <c r="C2" s="531" t="str">
        <f>Criterios!A10 &amp;"  "&amp;Criterios!B10 &amp; "  " &amp; IF(NOT(ISBLANK(Criterios!A11)),Criterios!A11 &amp;"  "&amp;Criterios!B11,"")</f>
        <v>Provincias  VALENCIA  Resumenes por Partidos Judiciales  TORRENT</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6</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2394</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2596</v>
      </c>
      <c r="AA9" s="335" t="str">
        <f>IF(ISNUMBER(IF(J_V="SI",Datos!L9,Datos!L9+Datos!AB9)-IF(Monitorios="SI",Datos!CD9,0)),
                          IF(J_V="SI",Datos!L9,Datos!L9+Datos!AB9)-IF(Monitorios="SI",Datos!CD9,0),
                          " - ")</f>
        <v xml:space="preserve"> - </v>
      </c>
      <c r="AB9" s="337"/>
      <c r="AC9" s="337"/>
      <c r="AD9" s="487"/>
      <c r="AE9" s="487">
        <f>IF(ISNUMBER(Datos!R9),Datos!R9," - ")</f>
        <v>9696</v>
      </c>
      <c r="AF9" s="232" t="str">
        <f>IF(ISNUMBER(Datos!BV9),Datos!BV9," - ")</f>
        <v xml:space="preserve"> - </v>
      </c>
      <c r="AG9" s="228" t="str">
        <f>IF(ISNUMBER(Datos!DV9),Datos!DV9," - ")</f>
        <v xml:space="preserve"> - </v>
      </c>
      <c r="AH9" s="301"/>
      <c r="AI9" s="230"/>
      <c r="AJ9" s="228">
        <f>IF(ISNUMBER(Datos!M9),Datos!M9," - ")</f>
        <v>2067</v>
      </c>
      <c r="AK9" s="232">
        <f>IF(ISNUMBER(Datos!N9),Datos!N9," - ")</f>
        <v>4473</v>
      </c>
      <c r="AL9" s="232" t="str">
        <f>IF(ISNUMBER(Datos!BW9),Datos!BW9," - ")</f>
        <v xml:space="preserve"> - </v>
      </c>
      <c r="AM9" s="231" t="str">
        <f>IF(ISNUMBER(Datos!BX9),Datos!BX9," - ")</f>
        <v xml:space="preserve"> - </v>
      </c>
      <c r="AN9" s="246"/>
      <c r="AO9" s="263">
        <f>IF(ISNUMBER(((NºAsuntos!I9/NºAsuntos!G9)*11)/factor_trimestre),((NºAsuntos!I9/NºAsuntos!G9)*11)/factor_trimestre," - ")</f>
        <v>5.6897679952409277</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-2.0408163265306121E-2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1</v>
      </c>
      <c r="F10" s="228">
        <f>IF(ISNUMBER(Datos!L10+Datos!K10-Datos!J10),Datos!L10+Datos!K10-Datos!J10," - ")</f>
        <v>54</v>
      </c>
      <c r="G10" s="228">
        <f>IF(ISNUMBER(Datos!I10),Datos!I10," - ")</f>
        <v>95</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57</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214</v>
      </c>
      <c r="Z10" s="622">
        <f>IF(ISNUMBER(Datos!Q10),Datos!Q10," - ")</f>
        <v>52</v>
      </c>
      <c r="AA10" s="335">
        <f>IF(ISNUMBER(Datos!L10),Datos!L10,"-")</f>
        <v>106</v>
      </c>
      <c r="AB10" s="337"/>
      <c r="AC10" s="337"/>
      <c r="AD10" s="487"/>
      <c r="AE10" s="487">
        <f>IF(ISNUMBER(Datos!R10),Datos!R10," - ")</f>
        <v>75</v>
      </c>
      <c r="AF10" s="232" t="str">
        <f>IF(ISNUMBER(Datos!BV10),Datos!BV10," - ")</f>
        <v xml:space="preserve"> - </v>
      </c>
      <c r="AG10" s="228" t="str">
        <f>IF(ISNUMBER(Datos!DV10),Datos!DV10," - ")</f>
        <v xml:space="preserve"> - </v>
      </c>
      <c r="AH10" s="301"/>
      <c r="AI10" s="230"/>
      <c r="AJ10" s="228">
        <f>IF(ISNUMBER(Datos!M10),Datos!M10," - ")</f>
        <v>58</v>
      </c>
      <c r="AK10" s="232">
        <f>IF(ISNUMBER(Datos!N10),Datos!N10," - ")</f>
        <v>110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5.4485981308411215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7.1428571428571425E-2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0</v>
      </c>
      <c r="B12" s="510" t="s">
        <v>246</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7</v>
      </c>
      <c r="F13" s="901">
        <f>SUBTOTAL(9,F8:F12)</f>
        <v>54</v>
      </c>
      <c r="G13" s="901">
        <f>SUBTOTAL(9,G8:G12)</f>
        <v>95</v>
      </c>
      <c r="H13" s="911"/>
      <c r="I13" s="901">
        <f t="shared" ref="I13:N13" si="0">SUBTOTAL(9,I8:I12)</f>
        <v>0</v>
      </c>
      <c r="J13" s="870">
        <f t="shared" si="0"/>
        <v>0</v>
      </c>
      <c r="K13" s="911">
        <f t="shared" si="0"/>
        <v>0</v>
      </c>
      <c r="L13" s="911">
        <f t="shared" si="0"/>
        <v>0</v>
      </c>
      <c r="M13" s="911">
        <f t="shared" si="0"/>
        <v>0</v>
      </c>
      <c r="N13" s="911">
        <f t="shared" si="0"/>
        <v>2451</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214</v>
      </c>
      <c r="Z13" s="910">
        <f t="shared" si="2"/>
        <v>2648</v>
      </c>
      <c r="AA13" s="903">
        <f t="shared" si="2"/>
        <v>106</v>
      </c>
      <c r="AB13" s="903">
        <f t="shared" si="2"/>
        <v>0</v>
      </c>
      <c r="AC13" s="903">
        <f t="shared" si="2"/>
        <v>0</v>
      </c>
      <c r="AD13" s="903">
        <f t="shared" si="2"/>
        <v>0</v>
      </c>
      <c r="AE13" s="903">
        <f t="shared" si="2"/>
        <v>9771</v>
      </c>
      <c r="AF13" s="911">
        <f t="shared" si="2"/>
        <v>0</v>
      </c>
      <c r="AG13" s="911">
        <f t="shared" si="2"/>
        <v>0</v>
      </c>
      <c r="AH13" s="911">
        <f t="shared" si="2"/>
        <v>0</v>
      </c>
      <c r="AI13" s="911">
        <f t="shared" si="2"/>
        <v>0</v>
      </c>
      <c r="AJ13" s="911">
        <f t="shared" si="2"/>
        <v>2125</v>
      </c>
      <c r="AK13" s="911">
        <f t="shared" si="2"/>
        <v>4583</v>
      </c>
      <c r="AL13" s="911">
        <f t="shared" si="2"/>
        <v>0</v>
      </c>
      <c r="AM13" s="911">
        <f t="shared" si="2"/>
        <v>0</v>
      </c>
      <c r="AN13" s="911">
        <f t="shared" si="2"/>
        <v>0</v>
      </c>
      <c r="AO13" s="907">
        <f>IF(ISNUMBER(((NºAsuntos!I13/NºAsuntos!G13)*11)/factor_trimestre),((NºAsuntos!I13/NºAsuntos!G13)*11)/factor_trimestre," - ")</f>
        <v>5.6847572815533978</v>
      </c>
      <c r="AP13" s="913" t="str">
        <f>IF(ISNUMBER(Datos!CI13/Datos!CJ13),Datos!CI13/Datos!CJ13," - ")</f>
        <v xml:space="preserve"> - </v>
      </c>
      <c r="AQ13" s="931">
        <f t="shared" ref="AQ13:AV13" si="3">SUBTOTAL(9,AQ9:AQ12)</f>
        <v>0</v>
      </c>
      <c r="AR13" s="931">
        <f t="shared" si="3"/>
        <v>5.1020408163265307E-2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3</v>
      </c>
      <c r="B15" s="510" t="s">
        <v>396</v>
      </c>
      <c r="C15" s="163" t="str">
        <f>Datos!A15</f>
        <v xml:space="preserve">Jdos. Instrucción                               </v>
      </c>
      <c r="D15" s="505"/>
      <c r="E15" s="1171">
        <f>IF(ISNUMBER(Datos!AQ15),Datos!AQ15," - ")</f>
        <v>3</v>
      </c>
      <c r="F15" s="336">
        <f>IF(ISNUMBER(AA15+Y15-Datos!J15-K15),AA15+Y15-Datos!J15-K15," - ")</f>
        <v>2081</v>
      </c>
      <c r="G15" s="228">
        <f>IF(ISNUMBER(IF(D_I="SI",Datos!I15,Datos!I15+Datos!AC15)),IF(D_I="SI",Datos!I15,Datos!I15+Datos!AC15)," - ")</f>
        <v>2062</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902</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8710</v>
      </c>
      <c r="Z15" s="622">
        <f>IF(ISNUMBER(Datos!Q15),Datos!Q15," - ")</f>
        <v>897</v>
      </c>
      <c r="AA15" s="335">
        <f>IF(ISNUMBER(IF(D_I="SI",Datos!L15,Datos!L15+Datos!AF15)),IF(D_I="SI",Datos!L15,Datos!L15+Datos!AF15)," - ")</f>
        <v>2248</v>
      </c>
      <c r="AB15" s="337"/>
      <c r="AC15" s="337"/>
      <c r="AD15" s="487"/>
      <c r="AE15" s="487">
        <f>IF(ISNUMBER(Datos!R15),Datos!R15," - ")</f>
        <v>437</v>
      </c>
      <c r="AF15" s="232" t="str">
        <f>IF(ISNUMBER(Datos!BV15),Datos!BV15," - ")</f>
        <v xml:space="preserve"> - </v>
      </c>
      <c r="AG15" s="228"/>
      <c r="AH15" s="301"/>
      <c r="AI15" s="230"/>
      <c r="AJ15" s="228">
        <f>IF(ISNUMBER(Datos!M15),Datos!M15," - ")</f>
        <v>1885</v>
      </c>
      <c r="AK15" s="232">
        <f>IF(ISNUMBER(Datos!N15),Datos!N15," - ")</f>
        <v>3844</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2.8390355912743974</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0</v>
      </c>
      <c r="B16" s="510" t="s">
        <v>396</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449</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26</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1612</v>
      </c>
      <c r="Z17" s="622">
        <f>IF(ISNUMBER(Datos!Q17),Datos!Q17," - ")</f>
        <v>15</v>
      </c>
      <c r="AA17" s="335">
        <f>IF(ISNUMBER(Datos!L17),Datos!L17,"-")</f>
        <v>398</v>
      </c>
      <c r="AB17" s="337"/>
      <c r="AC17" s="337"/>
      <c r="AD17" s="487"/>
      <c r="AE17" s="487">
        <f>IF(ISNUMBER(Datos!R17),Datos!R17," - ")</f>
        <v>12</v>
      </c>
      <c r="AF17" s="232" t="str">
        <f>IF(ISNUMBER(Datos!BV17),Datos!BV17," - ")</f>
        <v xml:space="preserve"> - </v>
      </c>
      <c r="AG17" s="228" t="str">
        <f>IF(ISNUMBER(Datos!DV17),Datos!DV17," - ")</f>
        <v xml:space="preserve"> - </v>
      </c>
      <c r="AH17" s="301"/>
      <c r="AI17" s="230"/>
      <c r="AJ17" s="228">
        <f>IF(ISNUMBER(Datos!M17),Datos!M17," - ")</f>
        <v>190</v>
      </c>
      <c r="AK17" s="232">
        <f>IF(ISNUMBER(Datos!N17),Datos!N17," - ")</f>
        <v>831</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2.7158808933002483</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4</v>
      </c>
      <c r="F18" s="901">
        <f>SUBTOTAL(9,F15:F17)</f>
        <v>2081</v>
      </c>
      <c r="G18" s="901">
        <f>SUBTOTAL(9,G15:G17)</f>
        <v>2511</v>
      </c>
      <c r="H18" s="935">
        <f>SUBTOTAL(9,H15:H17)</f>
        <v>0</v>
      </c>
      <c r="I18" s="914">
        <f>SUBTOTAL(9,I15:I17)</f>
        <v>0</v>
      </c>
      <c r="J18" s="870">
        <f>SUBTOTAL(9,J14:J17)</f>
        <v>0</v>
      </c>
      <c r="K18" s="935">
        <f t="shared" ref="K18:S18" si="4">SUBTOTAL(9,K15:K17)</f>
        <v>0</v>
      </c>
      <c r="L18" s="935">
        <f t="shared" si="4"/>
        <v>0</v>
      </c>
      <c r="M18" s="935">
        <f t="shared" si="4"/>
        <v>0</v>
      </c>
      <c r="N18" s="935">
        <f t="shared" si="4"/>
        <v>928</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10322</v>
      </c>
      <c r="Z18" s="935">
        <f t="shared" si="5"/>
        <v>912</v>
      </c>
      <c r="AA18" s="935">
        <f t="shared" si="5"/>
        <v>2646</v>
      </c>
      <c r="AB18" s="935">
        <f t="shared" si="5"/>
        <v>0</v>
      </c>
      <c r="AC18" s="935">
        <f t="shared" si="5"/>
        <v>0</v>
      </c>
      <c r="AD18" s="935">
        <f t="shared" si="5"/>
        <v>0</v>
      </c>
      <c r="AE18" s="935">
        <f t="shared" si="5"/>
        <v>449</v>
      </c>
      <c r="AF18" s="935">
        <f t="shared" si="5"/>
        <v>0</v>
      </c>
      <c r="AG18" s="935">
        <f t="shared" si="5"/>
        <v>0</v>
      </c>
      <c r="AH18" s="935">
        <f t="shared" si="5"/>
        <v>0</v>
      </c>
      <c r="AI18" s="935">
        <f t="shared" si="5"/>
        <v>0</v>
      </c>
      <c r="AJ18" s="935">
        <f t="shared" si="5"/>
        <v>2075</v>
      </c>
      <c r="AK18" s="935">
        <f t="shared" si="5"/>
        <v>4675</v>
      </c>
      <c r="AL18" s="935">
        <f t="shared" si="5"/>
        <v>0</v>
      </c>
      <c r="AM18" s="935">
        <f t="shared" si="5"/>
        <v>0</v>
      </c>
      <c r="AN18" s="935">
        <f t="shared" si="5"/>
        <v>0</v>
      </c>
      <c r="AO18" s="937">
        <f>IF(ISNUMBER(((NºAsuntos!I18/NºAsuntos!G18)*11)/factor_trimestre),((NºAsuntos!I18/NºAsuntos!G18)*11)/factor_trimestre," - ")</f>
        <v>2.8198023638829688</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11</v>
      </c>
      <c r="F19" s="823">
        <f t="shared" si="7"/>
        <v>2135</v>
      </c>
      <c r="G19" s="823">
        <f t="shared" si="7"/>
        <v>2606</v>
      </c>
      <c r="H19" s="824">
        <f t="shared" si="7"/>
        <v>0</v>
      </c>
      <c r="I19" s="823">
        <f t="shared" si="7"/>
        <v>0</v>
      </c>
      <c r="J19" s="825">
        <f t="shared" si="7"/>
        <v>0</v>
      </c>
      <c r="K19" s="823">
        <f t="shared" si="7"/>
        <v>0</v>
      </c>
      <c r="L19" s="826">
        <f t="shared" si="7"/>
        <v>0</v>
      </c>
      <c r="M19" s="823">
        <f t="shared" si="7"/>
        <v>0</v>
      </c>
      <c r="N19" s="824">
        <f t="shared" si="7"/>
        <v>3379</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10536</v>
      </c>
      <c r="Z19" s="830">
        <f t="shared" si="8"/>
        <v>3560</v>
      </c>
      <c r="AA19" s="831">
        <f t="shared" si="8"/>
        <v>2752</v>
      </c>
      <c r="AB19" s="831">
        <f t="shared" si="8"/>
        <v>0</v>
      </c>
      <c r="AC19" s="831">
        <f t="shared" si="8"/>
        <v>0</v>
      </c>
      <c r="AD19" s="832">
        <f t="shared" si="8"/>
        <v>0</v>
      </c>
      <c r="AE19" s="832">
        <f t="shared" si="8"/>
        <v>10220</v>
      </c>
      <c r="AF19" s="833">
        <f t="shared" si="8"/>
        <v>0</v>
      </c>
      <c r="AG19" s="834">
        <f t="shared" si="8"/>
        <v>0</v>
      </c>
      <c r="AH19" s="835">
        <f t="shared" si="8"/>
        <v>0</v>
      </c>
      <c r="AI19" s="833">
        <f t="shared" si="8"/>
        <v>0</v>
      </c>
      <c r="AJ19" s="823">
        <f t="shared" si="8"/>
        <v>4200</v>
      </c>
      <c r="AK19" s="823">
        <f t="shared" si="8"/>
        <v>9258</v>
      </c>
      <c r="AL19" s="823">
        <f t="shared" si="8"/>
        <v>0</v>
      </c>
      <c r="AM19" s="836">
        <f t="shared" si="8"/>
        <v>0</v>
      </c>
      <c r="AN19" s="826">
        <f>IF(ISNUMBER(Datos!K19/Datos!J19),Datos!K19/Datos!J19," - ")</f>
        <v>0.96307404857901469</v>
      </c>
      <c r="AO19" s="826">
        <f>IF(ISNUMBER(FIND("06",Criterios!A8,1)),(IF(ISNUMBER(((Datos!R19/Datos!Q19)*11)/factor_trimestre),((Datos!R19/Datos!Q19)*11)/factor_trimestre," - ")),(IF(ISNUMBER(((Datos!L19/Datos!K19)*11)/factor_trimestre),((Datos!L19/Datos!K19)*11)/factor_trimestre," - ")))</f>
        <v>4.322611936488487</v>
      </c>
      <c r="AP19" s="837" t="str">
        <f>IF(ISNUMBER(Datos!CI19/Datos!CJ19),Datos!CI19/Datos!CJ19," - ")</f>
        <v xml:space="preserve"> - </v>
      </c>
      <c r="AQ19" s="837">
        <f>IF(OR(ISNUMBER(FIND("01",Criterios!A8,1)),ISNUMBER(FIND("02",Criterios!A8,1)),ISNUMBER(FIND("03",Criterios!A8,1)),ISNUMBER(FIND("04",Criterios!A8,1))),(J19-Y19+K19)/(F19-K19),(I19-Y19+K19)/(F19-K19))</f>
        <v>-4.934894613583138</v>
      </c>
      <c r="AR19" s="837">
        <f>IF(ISNUMBER((Datos!P19-Datos!Q19+O19)/(Datos!R19-Datos!P19+Datos!Q19-O19)),(Datos!P19-Datos!Q19+O19)/(Datos!R19-Datos!P19+Datos!Q19-O19)," - ")</f>
        <v>-1.7402172867993462E-2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1042.4000000000001</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1170.2889956473714</v>
      </c>
      <c r="G21" s="555">
        <f>IF(ISNUMBER(STDEV(G8:G18)),STDEV(G8:G18),"-")</f>
        <v>1155.8143449533752</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992.61553483712919</v>
      </c>
      <c r="AK21" s="255"/>
      <c r="AL21" s="255">
        <f>IF(ISNUMBER(STDEV(AL8:AL18)),STDEV(AL8:AL18),"-")</f>
        <v>0</v>
      </c>
      <c r="AM21" s="257">
        <f>IF(ISNUMBER(STDEV(AM8:AM18)),STDEV(AM8:AM18),"-")</f>
        <v>0</v>
      </c>
      <c r="AN21" s="542">
        <f>IF(ISNUMBER(STDEV(AN8:AN18)),STDEV(AN8:AN18),"-")</f>
        <v>0</v>
      </c>
      <c r="AO21" s="543">
        <f>IF(ISNUMBER(STDEV(AO8:AO18)),STDEV(AO8:AO18),"-")</f>
        <v>1.5454894720162697</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AeRpWTJxJaKe9qZKU0IAQasY4fQNhfgHLKc366z90YVgbC3uYN0ocR1ZI/KLFWZswWEBwelz7ZUgPHLA5fiVGA==" saltValue="QmfZhfmQnw0Y662himRiw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aV968Xyc8WThQe+u8UGjkav/BhUNU2Uw5z+pHKZwWs+ASMXaESzs49IVS5SOCxJdpEynXNhTkbr3zbvdsSHAIg==" saltValue="uZRlpZyAIBDA0PYRX5kNs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tXHtnC55IGh7YOka38JYx3oZLo8VUXw3AyCmtjgSy/IM8D4Xnn9jgK1zxzhhkshB72yoCg+5I5+Iv03GtsKg==" saltValue="8F5GN5bF4w9ovRhkJmluQ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COMUNIDAD VALENCIANA</v>
      </c>
    </row>
    <row r="2" spans="1:75" ht="16.5" customHeight="1">
      <c r="C2" s="491" t="str">
        <f>Criterios!A10 &amp;"  "&amp;Criterios!B10 &amp; "  " &amp; IF(NOT(ISBLANK(Criterios!A11)),Criterios!A11 &amp;"  "&amp;Criterios!B11,"")</f>
        <v>Provincias  VALENCIA  Resumenes por Partidos Judiciales  TORRENT</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0.20631067961165048</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0.14588368058460324</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JUVdUNy1QcDhBMxDW2C2Ow19hJoXm5973tJxADtfcO3iK5obeRCWlnpmw2XUPkRxK30fXuY6sDtb93K0AvoC7Q==" saltValue="RGar/yyi1d87/iSLs3uEo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hy94PTWzhFrVE+xTrMfOTwF4esOgcG6u3LeI+G4jDMZTwdFcDcsPjRgUiN8IQhjW4zLBbx6CxIZEVmKiXfJDQw==" saltValue="FFpCbNy9I/thPE92HntTG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COMUNIDAD VALENCIANA</v>
      </c>
      <c r="C2" s="378"/>
      <c r="D2" s="378"/>
      <c r="E2" s="378"/>
      <c r="F2" s="378"/>
    </row>
    <row r="3" spans="1:14" ht="19.5">
      <c r="A3" s="393" t="s">
        <v>115</v>
      </c>
      <c r="B3" s="394" t="str">
        <f>Criterios!A10 &amp;"  "&amp;Criterios!B10</f>
        <v>Provincias  VALENCIA</v>
      </c>
      <c r="D3" s="378"/>
      <c r="E3" s="378"/>
      <c r="F3" s="378"/>
    </row>
    <row r="4" spans="1:14" ht="13.5" thickBot="1">
      <c r="A4" s="378"/>
      <c r="B4" s="394" t="str">
        <f>Criterios!A11 &amp;"  "&amp;Criterios!B11</f>
        <v>Resumenes por Partidos Judiciales  TORRENT</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6</v>
      </c>
      <c r="C9" s="406">
        <f>IF(ISNUMBER(IF(J_V="SI",Datos!I9,Datos!I9+Datos!Y9)),IF(J_V="SI",Datos!I9,Datos!I9+Datos!Y9)," - ")</f>
        <v>4665</v>
      </c>
      <c r="D9" s="407">
        <f>IF(ISNUMBER(C9/Datos!BH9),C9/Datos!BH9," - ")</f>
        <v>777.5</v>
      </c>
      <c r="E9" s="406">
        <f>IF(ISNUMBER(IF(J_V="SI",Datos!J9,Datos!J9+Datos!Z9)),IF(J_V="SI",Datos!J9,Datos!J9+Datos!Z9)," - ")</f>
        <v>10609</v>
      </c>
      <c r="F9" s="407">
        <f>IF(ISNUMBER(E9/B9),E9/B9," - ")</f>
        <v>1768.1666666666667</v>
      </c>
      <c r="G9" s="406">
        <f>IF(ISNUMBER(IF(J_V="SI",Datos!K9,Datos!K9+Datos!AA9)),IF(J_V="SI",Datos!K9,Datos!K9+Datos!AA9)," - ")</f>
        <v>10086</v>
      </c>
      <c r="H9" s="407">
        <f>IF(ISNUMBER(G9/B9),G9/B9," - ")</f>
        <v>1681</v>
      </c>
      <c r="I9" s="406">
        <f>IF(ISNUMBER(IF(J_V="SI",Datos!L9,Datos!L9+Datos!AB9)),IF(J_V="SI",Datos!L9,Datos!L9+Datos!AB9)," - ")</f>
        <v>5217</v>
      </c>
      <c r="J9" s="407">
        <f>IF(ISNUMBER(I9/B9),I9/B9," - ")</f>
        <v>869.5</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95</v>
      </c>
      <c r="D10" s="407">
        <f>IF(ISNUMBER(C10/Datos!BH10),C10/Datos!BH10," - ")</f>
        <v>95</v>
      </c>
      <c r="E10" s="406">
        <f>IF(ISNUMBER(Datos!J10),Datos!J10," - ")</f>
        <v>266</v>
      </c>
      <c r="F10" s="407">
        <f>IF(ISNUMBER(E10/B10),E10/B10," - ")</f>
        <v>266</v>
      </c>
      <c r="G10" s="406">
        <f>IF(ISNUMBER(Datos!K10),Datos!K10," - ")</f>
        <v>214</v>
      </c>
      <c r="H10" s="407">
        <f>IF(ISNUMBER(G10/B10),G10/B10," - ")</f>
        <v>214</v>
      </c>
      <c r="I10" s="406">
        <f>IF(ISNUMBER(Datos!L10),Datos!L10," - ")</f>
        <v>106</v>
      </c>
      <c r="J10" s="407">
        <f>IF(ISNUMBER(I10/B10),I10/B10," - ")</f>
        <v>106</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7</v>
      </c>
      <c r="C13" s="852">
        <f>SUBTOTAL(9,C8:C12)</f>
        <v>4760</v>
      </c>
      <c r="D13" s="853" t="str">
        <f>IF(ISNUMBER(C13/Datos!BI13),C13/Datos!BI13," - ")</f>
        <v xml:space="preserve"> - </v>
      </c>
      <c r="E13" s="852">
        <f>SUBTOTAL(9,E8:E12)</f>
        <v>10875</v>
      </c>
      <c r="F13" s="853">
        <f>IF(ISNUMBER(E13/B13),E13/B13," - ")</f>
        <v>1553.5714285714287</v>
      </c>
      <c r="G13" s="852">
        <f>SUBTOTAL(9,G8:G12)</f>
        <v>10300</v>
      </c>
      <c r="H13" s="853">
        <f>IF(ISNUMBER(G13/B13),G13/B13," - ")</f>
        <v>1471.4285714285713</v>
      </c>
      <c r="I13" s="852">
        <f>SUBTOTAL(9,I8:I12)</f>
        <v>5323</v>
      </c>
      <c r="J13" s="853">
        <f>IF(ISNUMBER(I13/B13),I13/B13," - ")</f>
        <v>760.42857142857144</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3</v>
      </c>
      <c r="C15" s="406">
        <f>IF(ISNUMBER(IF(D_I="SI",Datos!I15,Datos!I15+Datos!AC15)),IF(D_I="SI",Datos!I15,Datos!I15+Datos!AC15)," - ")</f>
        <v>2062</v>
      </c>
      <c r="D15" s="407">
        <f>IF(ISNUMBER(C15/Datos!BH15),C15/Datos!BH15," - ")</f>
        <v>687.33333333333337</v>
      </c>
      <c r="E15" s="406">
        <f>IF(ISNUMBER(IF(D_I="SI",Datos!J15,Datos!J15+Datos!AD15)),IF(D_I="SI",Datos!J15,Datos!J15+Datos!AD15)," - ")</f>
        <v>8877</v>
      </c>
      <c r="F15" s="407">
        <f>IF(ISNUMBER(E15/B15),E15/B15," - ")</f>
        <v>2959</v>
      </c>
      <c r="G15" s="406">
        <f>IF(ISNUMBER(IF(D_I="SI",Datos!K15,Datos!K15+Datos!AE15)),IF(D_I="SI",Datos!K15,Datos!K15+Datos!AE15)," - ")</f>
        <v>8710</v>
      </c>
      <c r="H15" s="407">
        <f>IF(ISNUMBER(G15/B15),G15/B15," - ")</f>
        <v>2903.3333333333335</v>
      </c>
      <c r="I15" s="406">
        <f>IF(ISNUMBER(IF(D_I="SI",Datos!L15,Datos!L15+Datos!AF15)),IF(D_I="SI",Datos!L15,Datos!L15+Datos!AF15)," - ")</f>
        <v>2248</v>
      </c>
      <c r="J15" s="407">
        <f>IF(ISNUMBER(I15/B15),I15/B15," - ")</f>
        <v>749.33333333333337</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449</v>
      </c>
      <c r="D17" s="407">
        <f>IF(ISNUMBER(C17/Datos!BH17),C17/Datos!BH17," - ")</f>
        <v>449</v>
      </c>
      <c r="E17" s="406">
        <f>IF(ISNUMBER(IF(D_I="SI",Datos!J17,Datos!J17+Datos!AD17)),IF(D_I="SI",Datos!J17,Datos!J17+Datos!AD17)," - ")</f>
        <v>1568</v>
      </c>
      <c r="F17" s="407">
        <f>IF(ISNUMBER(E17/B17),E17/B17," - ")</f>
        <v>1568</v>
      </c>
      <c r="G17" s="406">
        <f>IF(ISNUMBER(IF(D_I="SI",Datos!K17,Datos!K17+Datos!AE17)),IF(D_I="SI",Datos!K17,Datos!K17+Datos!AE17)," - ")</f>
        <v>1612</v>
      </c>
      <c r="H17" s="407">
        <f>IF(ISNUMBER(G17/B17),G17/B17," - ")</f>
        <v>1612</v>
      </c>
      <c r="I17" s="406">
        <f>IF(ISNUMBER(IF(D_I="SI",Datos!L17,Datos!L17+Datos!AF17)),IF(D_I="SI",Datos!L17,Datos!L17+Datos!AF17)," - ")</f>
        <v>398</v>
      </c>
      <c r="J17" s="407">
        <f>IF(ISNUMBER(I17/B17),I17/B17," - ")</f>
        <v>398</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4</v>
      </c>
      <c r="C18" s="852">
        <f>SUBTOTAL(9,C14:C17)</f>
        <v>2511</v>
      </c>
      <c r="D18" s="853" t="str">
        <f>IF(ISNUMBER(C18/Datos!BI18),C18/Datos!BI18," - ")</f>
        <v xml:space="preserve"> - </v>
      </c>
      <c r="E18" s="852">
        <f>SUBTOTAL(9,E14:E17)</f>
        <v>10445</v>
      </c>
      <c r="F18" s="853">
        <f>IF(ISNUMBER(E18/B18),E18/B18," - ")</f>
        <v>2611.25</v>
      </c>
      <c r="G18" s="852">
        <f>SUBTOTAL(9,G14:G17)</f>
        <v>10322</v>
      </c>
      <c r="H18" s="853">
        <f>IF(ISNUMBER(G18/B18),G18/B18," - ")</f>
        <v>2580.5</v>
      </c>
      <c r="I18" s="852">
        <f>SUBTOTAL(9,I14:I17)</f>
        <v>2646</v>
      </c>
      <c r="J18" s="853">
        <f>IF(ISNUMBER(I18/B18),I18/B18," - ")</f>
        <v>661.5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10</v>
      </c>
      <c r="C19" s="797">
        <f>SUBTOTAL(9,C9:C18)</f>
        <v>7271</v>
      </c>
      <c r="D19" s="798" t="str">
        <f>IF(ISNUMBER(C19/Datos!BI19),C19/Datos!BI19," - ")</f>
        <v xml:space="preserve"> - </v>
      </c>
      <c r="E19" s="797">
        <f>SUBTOTAL(9,E9:E18)</f>
        <v>21320</v>
      </c>
      <c r="F19" s="798">
        <f>IF(ISNUMBER(E19/B19),E19/B19," - ")</f>
        <v>2132</v>
      </c>
      <c r="G19" s="797">
        <f>SUBTOTAL(9,G9:G18)</f>
        <v>20622</v>
      </c>
      <c r="H19" s="798">
        <f>IF(ISNUMBER(G19/B19),G19/B19," - ")</f>
        <v>2062.1999999999998</v>
      </c>
      <c r="I19" s="797">
        <f>SUBTOTAL(9,I9:I18)</f>
        <v>7969</v>
      </c>
      <c r="J19" s="798">
        <f>IF(ISNUMBER(I19/B19),I19/B19," - ")</f>
        <v>796.9</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GSA0CPd8PbkWSU7b2lFz6SeCwYYqkz5lB17cn08EL6hApyjrgfvZN224EGJxmI4wEXi5fphkxfxfZh/CMjld/A==" saltValue="dDlvLRPfmleBTc8uJiFHM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COMUNIDAD VALENCIANA</v>
      </c>
      <c r="W1"/>
      <c r="X1"/>
    </row>
    <row r="2" spans="1:65" ht="16.5" customHeight="1">
      <c r="C2" s="491" t="str">
        <f>Criterios!A10 &amp;"  "&amp;Criterios!B10 &amp; "  " &amp; IF(NOT(ISBLANK(Criterios!A11)),Criterios!A11 &amp;"  "&amp;Criterios!B11,"")</f>
        <v>Provincias  VALENCIA  Resumenes por Partidos Judiciales  TORRENT</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6</v>
      </c>
      <c r="B9" s="504" t="s">
        <v>246</v>
      </c>
      <c r="C9" s="163" t="str">
        <f>Datos!A9</f>
        <v xml:space="preserve">Jdos. 1ª Instancia   </v>
      </c>
      <c r="D9" s="505"/>
      <c r="E9" s="685">
        <f>IF(ISNUMBER(Datos!AQ9),Datos!AQ9," - ")</f>
        <v>6</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1</v>
      </c>
      <c r="F10" s="686">
        <f>IF(ISNUMBER(Datos!L10+Datos!K10-Datos!J10),Datos!L10+Datos!K10-Datos!J10," - ")</f>
        <v>54</v>
      </c>
      <c r="G10" s="687">
        <f>IF(ISNUMBER(Datos!I10),Datos!I10," - ")</f>
        <v>95</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57</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214</v>
      </c>
      <c r="AC10" s="686" t="str">
        <f>IF(ISNUMBER(IF(D_I="SI",DatosP!K17,DatosP!K17+DatosP!AE17)),IF(D_I="SI",DatosP!K17,DatosP!K17+DatosP!AE17)," - ")</f>
        <v xml:space="preserve"> - </v>
      </c>
      <c r="AD10" s="688"/>
      <c r="AE10" s="688"/>
      <c r="AF10" s="691">
        <f>IF(ISNUMBER(Datos!L10),Datos!L10,"-")</f>
        <v>106</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58</v>
      </c>
      <c r="AM10" s="693">
        <f>IF(ISNUMBER(Datos!N10+DatosP!N17),Datos!N10+DatosP!N17," - ")</f>
        <v>110</v>
      </c>
      <c r="AN10" s="693">
        <f>IF(ISNUMBER(Datos!BW10+DatosP!BW17),Datos!BW10+DatosP!BW17," - ")</f>
        <v>0</v>
      </c>
      <c r="AO10" s="694">
        <f>IF(ISNUMBER(Datos!BX10+DatosP!BX17),Datos!BX10+DatosP!BX17," - ")</f>
        <v>0</v>
      </c>
      <c r="AP10" s="696">
        <f>IF(ISNUMBER(((Datos!L10/Datos!K10)*11)/factor_trimestre),((Datos!L10/Datos!K10)*11)/factor_trimestre," - ")</f>
        <v>5.4485981308411215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246</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7</v>
      </c>
      <c r="F13" s="941">
        <f t="shared" si="0"/>
        <v>54</v>
      </c>
      <c r="G13" s="941">
        <f t="shared" si="0"/>
        <v>95</v>
      </c>
      <c r="H13" s="941">
        <f t="shared" si="0"/>
        <v>0</v>
      </c>
      <c r="I13" s="943">
        <f t="shared" si="0"/>
        <v>0</v>
      </c>
      <c r="J13" s="942">
        <f t="shared" si="0"/>
        <v>0</v>
      </c>
      <c r="K13" s="942">
        <f t="shared" si="0"/>
        <v>0</v>
      </c>
      <c r="L13" s="944">
        <f t="shared" si="0"/>
        <v>0</v>
      </c>
      <c r="M13" s="944">
        <f t="shared" si="0"/>
        <v>0</v>
      </c>
      <c r="N13" s="942">
        <f t="shared" si="0"/>
        <v>57</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214</v>
      </c>
      <c r="AC13" s="942">
        <f t="shared" si="1"/>
        <v>0</v>
      </c>
      <c r="AD13" s="942">
        <f t="shared" si="1"/>
        <v>0</v>
      </c>
      <c r="AE13" s="942">
        <f t="shared" si="1"/>
        <v>0</v>
      </c>
      <c r="AF13" s="942">
        <f t="shared" si="1"/>
        <v>106</v>
      </c>
      <c r="AG13" s="942">
        <f t="shared" si="1"/>
        <v>0</v>
      </c>
      <c r="AH13" s="942">
        <f t="shared" si="1"/>
        <v>0</v>
      </c>
      <c r="AI13" s="942">
        <f t="shared" si="1"/>
        <v>0</v>
      </c>
      <c r="AJ13" s="942">
        <f t="shared" si="1"/>
        <v>0</v>
      </c>
      <c r="AK13" s="942">
        <f t="shared" si="1"/>
        <v>0</v>
      </c>
      <c r="AL13" s="942">
        <f t="shared" si="1"/>
        <v>58</v>
      </c>
      <c r="AM13" s="942">
        <f t="shared" si="1"/>
        <v>110</v>
      </c>
      <c r="AN13" s="942">
        <f t="shared" si="1"/>
        <v>0</v>
      </c>
      <c r="AO13" s="942">
        <f t="shared" si="1"/>
        <v>0</v>
      </c>
      <c r="AP13" s="947">
        <f>IF(ISNUMBER(((Datos!L13/Datos!K13)*11)/factor_trimestre),((Datos!L13/Datos!K13)*11)/factor_trimestre," - ")</f>
        <v>5.9968699406368051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-3.9629629629629628</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3</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2.8198023638829688</v>
      </c>
      <c r="AQ18" s="947">
        <f>IF(ISNUMBER(((Datos!M18/Datos!L18)*11)/factor_trimestre),((Datos!M18/Datos!L18)*11)/factor_trimestre," - ")</f>
        <v>8.6262282690854128</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3.695150115473441E-2</v>
      </c>
      <c r="AW18" s="949">
        <f>IF(ISNUMBER((Datos!Q18-Datos!R18)/(Datos!S18-Datos!Q18+Datos!R18)),(Datos!Q18-Datos!R18)/(Datos!S18-Datos!Q18+Datos!R18)," - ")</f>
        <v>0.27908378541289935</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7</v>
      </c>
      <c r="F19" s="954">
        <f t="shared" si="4"/>
        <v>54</v>
      </c>
      <c r="G19" s="954">
        <f t="shared" si="4"/>
        <v>95</v>
      </c>
      <c r="H19" s="954">
        <f t="shared" si="4"/>
        <v>0</v>
      </c>
      <c r="I19" s="955">
        <f t="shared" si="4"/>
        <v>0</v>
      </c>
      <c r="J19" s="956">
        <f t="shared" si="4"/>
        <v>0</v>
      </c>
      <c r="K19" s="956">
        <f t="shared" si="4"/>
        <v>0</v>
      </c>
      <c r="L19" s="956">
        <f t="shared" si="4"/>
        <v>0</v>
      </c>
      <c r="M19" s="956">
        <f t="shared" si="4"/>
        <v>0</v>
      </c>
      <c r="N19" s="955">
        <f t="shared" si="4"/>
        <v>57</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214</v>
      </c>
      <c r="AC19" s="960">
        <f t="shared" si="5"/>
        <v>0</v>
      </c>
      <c r="AD19" s="960">
        <f t="shared" si="5"/>
        <v>0</v>
      </c>
      <c r="AE19" s="960">
        <f t="shared" si="5"/>
        <v>0</v>
      </c>
      <c r="AF19" s="961">
        <f t="shared" si="5"/>
        <v>106</v>
      </c>
      <c r="AG19" s="961">
        <f t="shared" si="5"/>
        <v>0</v>
      </c>
      <c r="AH19" s="961">
        <f t="shared" si="5"/>
        <v>0</v>
      </c>
      <c r="AI19" s="961">
        <f t="shared" si="5"/>
        <v>0</v>
      </c>
      <c r="AJ19" s="962">
        <f t="shared" si="5"/>
        <v>0</v>
      </c>
      <c r="AK19" s="962">
        <f t="shared" si="5"/>
        <v>0</v>
      </c>
      <c r="AL19" s="954">
        <f t="shared" si="5"/>
        <v>58</v>
      </c>
      <c r="AM19" s="954">
        <f t="shared" si="5"/>
        <v>110</v>
      </c>
      <c r="AN19" s="954">
        <f t="shared" si="5"/>
        <v>0</v>
      </c>
      <c r="AO19" s="954">
        <f t="shared" si="5"/>
        <v>0</v>
      </c>
      <c r="AP19" s="954">
        <f>IF(ISNUMBER(((Datos!L19/Datos!K19)*11)/factor_trimestre),((Datos!L19/Datos!K19)*11)/factor_trimestre," - ")</f>
        <v>4.322611936488487</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-3.9629629629629628</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-1.7402172867993462E-2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63.333333333333336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3.2659863237109041</v>
      </c>
      <c r="F21" s="739">
        <f>IF(ISNUMBER(STDEV(F8:F18)),STDEV(F8:F18),"-")</f>
        <v>31.176914536239792</v>
      </c>
      <c r="G21" s="740">
        <f>IF(ISNUMBER(STDEV(G8:G18)),STDEV(G8:G18),"-")</f>
        <v>54.848275573014448</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123.55295760657991</v>
      </c>
      <c r="AC21" s="741">
        <f>IF(ISNUMBER(STDEV(AC8:AC18)),STDEV(AC8:AC18),"-")</f>
        <v>0</v>
      </c>
      <c r="AD21" s="744"/>
      <c r="AE21" s="744"/>
      <c r="AF21" s="744"/>
      <c r="AG21" s="744"/>
      <c r="AH21" s="744"/>
      <c r="AI21" s="744"/>
      <c r="AJ21" s="745">
        <f>IF(ISNUMBER(STDEV(AJ8:AJ18)),STDEV(AJ8:AJ18),"-")</f>
        <v>0</v>
      </c>
      <c r="AK21" s="747"/>
      <c r="AL21" s="739">
        <f>IF(ISNUMBER(STDEV(AL8:AL18)),STDEV(AL8:AL18),"-")</f>
        <v>33.486315612998297</v>
      </c>
      <c r="AM21" s="739"/>
      <c r="AN21" s="739">
        <f>IF(ISNUMBER(STDEV(AN8:AN18)),STDEV(AN8:AN18),"-")</f>
        <v>0</v>
      </c>
      <c r="AO21" s="745">
        <f>IF(ISNUMBER(STDEV(AO8:AO18)),STDEV(AO8:AO18),"-")</f>
        <v>0</v>
      </c>
      <c r="AP21" s="782">
        <f>IF(ISNUMBER(STDEV(AP8:AP18)),STDEV(AP8:AP18),"-")</f>
        <v>1.6982798919816029</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mBt4wlOFe7Jd9XAOqhEwsFYL3eGsvJQ2XqLzr/PRZMN7EsV1Z+6jRiRMb4NisOtGnHddjqtLOBjvl0VWGU09gg==" saltValue="7a2Ginw2utr8IJVDz8apI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COMUNIDAD VALENCIANA</v>
      </c>
      <c r="C2" s="378"/>
      <c r="E2" s="378"/>
      <c r="F2" s="378"/>
      <c r="G2" s="378"/>
      <c r="H2" s="378"/>
    </row>
    <row r="3" spans="1:15" ht="39">
      <c r="A3" s="418" t="s">
        <v>218</v>
      </c>
      <c r="B3" s="394" t="str">
        <f>Criterios!A10 &amp;"  "&amp;Criterios!B10</f>
        <v>Provincias  VALENCIA</v>
      </c>
      <c r="C3" s="418"/>
      <c r="F3" s="378"/>
      <c r="G3" s="378"/>
      <c r="H3" s="378"/>
    </row>
    <row r="4" spans="1:15" ht="13.5" thickBot="1">
      <c r="A4" s="378"/>
      <c r="B4" s="394" t="str">
        <f>Criterios!A11 &amp;"  "&amp;Criterios!B11</f>
        <v>Resumenes por Partidos Judiciales  TORRENT</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6</v>
      </c>
      <c r="D9" s="406">
        <f>Datos!BK9</f>
        <v>0</v>
      </c>
      <c r="E9" s="406">
        <f>Datos!AQ9</f>
        <v>6</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3</v>
      </c>
      <c r="D15" s="406">
        <f>Datos!BK15</f>
        <v>0</v>
      </c>
      <c r="E15" s="406">
        <f>Datos!AQ15</f>
        <v>3</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BhaXQv2gBSsgfCUTaQpq3t8aEKKfOTTUpBBHGbQ4uXvzB3+Oa98bzGX1s6+NoY+dbFCOt0+S+kZ6mptE6xc37A==" saltValue="WtoZTAhSEdL0rSu+4cIAb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COMUNIDAD VALENCIANA</v>
      </c>
      <c r="C2" s="394"/>
    </row>
    <row r="3" spans="1:9" ht="19.5">
      <c r="A3" s="428" t="s">
        <v>11</v>
      </c>
      <c r="B3" s="394" t="str">
        <f>Criterios!A10 &amp;"  "&amp;Criterios!B10</f>
        <v>Provincias  VALENCIA</v>
      </c>
      <c r="C3" s="394"/>
      <c r="D3" s="428"/>
    </row>
    <row r="4" spans="1:9" ht="13.5" thickBot="1">
      <c r="B4" s="394" t="str">
        <f>Criterios!A11 &amp;"  "&amp;Criterios!B11</f>
        <v>Resumenes por Partidos Judiciales  TORRENT</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6</v>
      </c>
      <c r="C9" s="413">
        <f>Datos!AQ9</f>
        <v>6</v>
      </c>
      <c r="D9" s="406">
        <f>IF(ISNUMBER(Datos!M9),Datos!M9," - ")</f>
        <v>2067</v>
      </c>
      <c r="E9" s="407">
        <f t="shared" ref="E9:E13" si="0">IF(ISNUMBER(D9/B9),D9/B9," - ")</f>
        <v>344.5</v>
      </c>
      <c r="F9" s="406">
        <f>IF(ISNUMBER(Datos!N9),Datos!N9," - ")</f>
        <v>4473</v>
      </c>
      <c r="G9" s="407">
        <f t="shared" ref="G9:G13" si="1">IF(ISNUMBER(F9/B9),F9/B9," - ")</f>
        <v>745.5</v>
      </c>
      <c r="H9" s="406">
        <f>IF(ISNUMBER(Datos!O9),Datos!O9," - ")</f>
        <v>4531</v>
      </c>
      <c r="I9" s="407">
        <f>IF(ISNUMBER(H9/B9),H9/B9," - ")</f>
        <v>755.16666666666663</v>
      </c>
    </row>
    <row r="10" spans="1:9">
      <c r="A10" s="405" t="str">
        <f>Datos!A10</f>
        <v>Jdos. Violencia contra la mujer</v>
      </c>
      <c r="B10" s="430">
        <f>Datos!AO10</f>
        <v>1</v>
      </c>
      <c r="C10" s="413">
        <f>Datos!AQ10</f>
        <v>1</v>
      </c>
      <c r="D10" s="406">
        <f>IF(ISNUMBER(Datos!M10),Datos!M10," - ")</f>
        <v>58</v>
      </c>
      <c r="E10" s="407">
        <f>IF(ISNUMBER(D10/B10),D10/B10," - ")</f>
        <v>58</v>
      </c>
      <c r="F10" s="406">
        <f>IF(ISNUMBER(Datos!N10),Datos!N10," - ")</f>
        <v>110</v>
      </c>
      <c r="G10" s="407">
        <f>IF(ISNUMBER(F10/B10),F10/B10," - ")</f>
        <v>110</v>
      </c>
      <c r="H10" s="406">
        <f>IF(ISNUMBER(Datos!O10),Datos!O10," - ")</f>
        <v>59</v>
      </c>
      <c r="I10" s="407">
        <f t="shared" ref="I10:I12" si="2">IF(ISNUMBER(H10/B10),H10/B10," - ")</f>
        <v>59</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7</v>
      </c>
      <c r="C13" s="854">
        <f>Datos!AR13</f>
        <v>7</v>
      </c>
      <c r="D13" s="852">
        <f>SUBTOTAL(9,D9:D12)</f>
        <v>2125</v>
      </c>
      <c r="E13" s="853">
        <f t="shared" si="0"/>
        <v>303.57142857142856</v>
      </c>
      <c r="F13" s="852">
        <f>SUBTOTAL(9,F9:F12)</f>
        <v>4583</v>
      </c>
      <c r="G13" s="853">
        <f t="shared" si="1"/>
        <v>654.71428571428567</v>
      </c>
      <c r="H13" s="852">
        <f>SUBTOTAL(9,H9:H12)</f>
        <v>4590</v>
      </c>
      <c r="I13" s="853">
        <f>IF(ISNUMBER(H13/B13),H13/B13," - ")</f>
        <v>655.71428571428567</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3</v>
      </c>
      <c r="C15" s="431">
        <f>Datos!AQ15</f>
        <v>3</v>
      </c>
      <c r="D15" s="406">
        <f>IF(ISNUMBER(Datos!M15),Datos!M15," - ")</f>
        <v>1885</v>
      </c>
      <c r="E15" s="407">
        <f t="shared" ref="E15:E18" si="3">IF(ISNUMBER(D15/B15),D15/B15," - ")</f>
        <v>628.33333333333337</v>
      </c>
      <c r="F15" s="406">
        <f>IF(ISNUMBER(Datos!N15),Datos!N15," - ")</f>
        <v>3844</v>
      </c>
      <c r="G15" s="407">
        <f t="shared" ref="G15:G18" si="4">IF(ISNUMBER(F15/B15),F15/B15," - ")</f>
        <v>1281.3333333333333</v>
      </c>
      <c r="H15" s="406">
        <f>IF(ISNUMBER(Datos!O15),Datos!O15," - ")</f>
        <v>580</v>
      </c>
      <c r="I15" s="407">
        <f t="shared" ref="I15:I17" si="5">IF(ISNUMBER(H15/B15),H15/B15," - ")</f>
        <v>193.33333333333334</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1</v>
      </c>
      <c r="C17" s="431">
        <f>Datos!AQ17</f>
        <v>1</v>
      </c>
      <c r="D17" s="406">
        <f>IF(ISNUMBER(Datos!M17),Datos!M17," - ")</f>
        <v>190</v>
      </c>
      <c r="E17" s="407">
        <f>IF(ISNUMBER(D17/B17),D17/B17," - ")</f>
        <v>190</v>
      </c>
      <c r="F17" s="406">
        <f>IF(ISNUMBER(Datos!N17),Datos!N17," - ")</f>
        <v>831</v>
      </c>
      <c r="G17" s="407">
        <f>IF(ISNUMBER(F17/B17),F17/B17," - ")</f>
        <v>831</v>
      </c>
      <c r="H17" s="406">
        <f>IF(ISNUMBER(Datos!O17),Datos!O17," - ")</f>
        <v>6</v>
      </c>
      <c r="I17" s="407">
        <f t="shared" si="5"/>
        <v>6</v>
      </c>
    </row>
    <row r="18" spans="1:9" ht="14.25" thickTop="1" thickBot="1">
      <c r="A18" s="851" t="str">
        <f>Datos!A18</f>
        <v>TOTAL</v>
      </c>
      <c r="B18" s="852">
        <f>Datos!AO18</f>
        <v>4</v>
      </c>
      <c r="C18" s="854">
        <f>Datos!AR18</f>
        <v>4</v>
      </c>
      <c r="D18" s="852">
        <f>SUBTOTAL(9,D15:D17)</f>
        <v>2075</v>
      </c>
      <c r="E18" s="853">
        <f t="shared" si="3"/>
        <v>518.75</v>
      </c>
      <c r="F18" s="852">
        <f>SUBTOTAL(9,F15:F17)</f>
        <v>4675</v>
      </c>
      <c r="G18" s="853">
        <f t="shared" si="4"/>
        <v>1168.75</v>
      </c>
      <c r="H18" s="852">
        <f>SUBTOTAL(9,H15:H17)</f>
        <v>586</v>
      </c>
      <c r="I18" s="853">
        <f>IF(ISNUMBER(H18/B18),H18/B18," - ")</f>
        <v>146.5</v>
      </c>
    </row>
    <row r="19" spans="1:9" ht="14.25" thickTop="1" thickBot="1">
      <c r="A19" s="796" t="str">
        <f>Datos!A19</f>
        <v>TOTAL JURISDICCIONES</v>
      </c>
      <c r="B19" s="797">
        <f>Datos!AP19</f>
        <v>10</v>
      </c>
      <c r="C19" s="797">
        <f>Datos!AR19</f>
        <v>10</v>
      </c>
      <c r="D19" s="797">
        <f>SUBTOTAL(9,D8:D18)</f>
        <v>4200</v>
      </c>
      <c r="E19" s="798">
        <f>IF(ISNUMBER(D19/B19),D19/B19," - ")</f>
        <v>420</v>
      </c>
      <c r="F19" s="797">
        <f>SUBTOTAL(9,F8:F18)</f>
        <v>9258</v>
      </c>
      <c r="G19" s="798">
        <f>IF(ISNUMBER(F19/B19),F19/B19," - ")</f>
        <v>925.8</v>
      </c>
      <c r="H19" s="797">
        <f>SUBTOTAL(9,H8:H18)</f>
        <v>5176</v>
      </c>
      <c r="I19" s="798">
        <f>IF(ISNUMBER(H19/B19),H19/B19," - ")</f>
        <v>517.6</v>
      </c>
    </row>
    <row r="22" spans="1:9">
      <c r="A22" s="394" t="str">
        <f>Criterios!A4</f>
        <v>Fecha Informe: 03 may. 2024</v>
      </c>
    </row>
    <row r="27" spans="1:9">
      <c r="A27" s="417"/>
    </row>
  </sheetData>
  <sheetProtection algorithmName="SHA-512" hashValue="3eNSAVzCV3bw8c1AWpDftSKrrZh1JPHbFsacgM6UoUNGu7kwuNcA/mb6Xxl5E7wko4etvc7dXrSQsjPE6qUxcA==" saltValue="1AaOKRpQMgROBLmp49C6W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COMUNIDAD VALENCIANA</v>
      </c>
    </row>
    <row r="3" spans="1:4" ht="19.5">
      <c r="A3" s="432" t="s">
        <v>32</v>
      </c>
      <c r="B3" s="394" t="str">
        <f>Criterios!A10 &amp;"  "&amp;Criterios!B10</f>
        <v>Provincias  VALENCIA</v>
      </c>
    </row>
    <row r="4" spans="1:4" ht="13.5" thickBot="1">
      <c r="B4" s="394" t="str">
        <f>Criterios!A11 &amp;"  "&amp;Criterios!B11</f>
        <v>Resumenes por Partidos Judiciales  TORRENT</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2394</v>
      </c>
      <c r="C9" s="437">
        <f>IF(ISNUMBER(Datos!Q9),Datos!Q9," - ")</f>
        <v>2596</v>
      </c>
      <c r="D9" s="411">
        <f>IF(ISNUMBER(Datos!R9),Datos!R9," - ")</f>
        <v>9696</v>
      </c>
    </row>
    <row r="10" spans="1:4">
      <c r="A10" s="405" t="str">
        <f>Datos!A10</f>
        <v>Jdos. Violencia contra la mujer</v>
      </c>
      <c r="B10" s="436">
        <f>IF(ISNUMBER(Datos!P10),Datos!P10," - ")</f>
        <v>57</v>
      </c>
      <c r="C10" s="437">
        <f>IF(ISNUMBER(Datos!Q10),Datos!Q10," - ")</f>
        <v>52</v>
      </c>
      <c r="D10" s="411">
        <f>IF(ISNUMBER(Datos!R10),Datos!R10," - ")</f>
        <v>75</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2451</v>
      </c>
      <c r="C13" s="856">
        <f>SUBTOTAL(9,C9:C12)</f>
        <v>2648</v>
      </c>
      <c r="D13" s="854">
        <f>SUBTOTAL(9,D9:D12)</f>
        <v>9771</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902</v>
      </c>
      <c r="C15" s="437">
        <f>IF(ISNUMBER(Datos!Q15),Datos!Q15," - ")</f>
        <v>897</v>
      </c>
      <c r="D15" s="411">
        <f>IF(ISNUMBER(Datos!R15),Datos!R15," - ")</f>
        <v>437</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26</v>
      </c>
      <c r="C17" s="437">
        <f>IF(ISNUMBER(Datos!Q17),Datos!Q17," - ")</f>
        <v>15</v>
      </c>
      <c r="D17" s="411">
        <f>IF(ISNUMBER(Datos!R17),Datos!R17," - ")</f>
        <v>12</v>
      </c>
    </row>
    <row r="18" spans="1:4" ht="14.25" thickTop="1" thickBot="1">
      <c r="A18" s="851" t="str">
        <f>Datos!A18</f>
        <v>TOTAL</v>
      </c>
      <c r="B18" s="852">
        <f>SUBTOTAL(9,B15:B17)</f>
        <v>928</v>
      </c>
      <c r="C18" s="856">
        <f>SUBTOTAL(9,C15:C17)</f>
        <v>912</v>
      </c>
      <c r="D18" s="854">
        <f>SUBTOTAL(9,D15:D17)</f>
        <v>449</v>
      </c>
    </row>
    <row r="19" spans="1:4" ht="16.5" customHeight="1" thickTop="1" thickBot="1">
      <c r="A19" s="796" t="str">
        <f>Datos!A19</f>
        <v>TOTAL JURISDICCIONES</v>
      </c>
      <c r="B19" s="801">
        <f>SUBTOTAL(9,B8:B18)</f>
        <v>3379</v>
      </c>
      <c r="C19" s="802">
        <f>SUBTOTAL(9,C8:C18)</f>
        <v>3560</v>
      </c>
      <c r="D19" s="803">
        <f>SUBTOTAL(9,D8:D18)</f>
        <v>10220</v>
      </c>
    </row>
    <row r="20" spans="1:4" ht="7.5" customHeight="1"/>
    <row r="21" spans="1:4" ht="6" customHeight="1"/>
    <row r="22" spans="1:4">
      <c r="A22" s="394" t="str">
        <f>Criterios!A4</f>
        <v>Fecha Informe: 03 may. 2024</v>
      </c>
    </row>
    <row r="27" spans="1:4">
      <c r="A27" s="417"/>
    </row>
  </sheetData>
  <sheetProtection algorithmName="SHA-512" hashValue="NeV2HEIJvT0jOhobtISXL7kFwmGN2xQgvPRCLz0Q4Xomi8abNzBJbnXTtBZVy0F/5P+j5TlpG2XWsuRvzqkYQw==" saltValue="qSrkhfEvxRa0O5BEMWCp6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COMUNIDAD VALENCIANA</v>
      </c>
    </row>
    <row r="3" spans="1:11" ht="18.75" customHeight="1">
      <c r="A3" s="432" t="s">
        <v>118</v>
      </c>
      <c r="B3" s="394" t="str">
        <f>Criterios!A10 &amp;"  "&amp;Criterios!B10</f>
        <v>Provincias  VALENCIA</v>
      </c>
    </row>
    <row r="4" spans="1:11" ht="10.5" customHeight="1" thickBot="1">
      <c r="B4" s="394" t="str">
        <f>Criterios!A11 &amp;"  "&amp;Criterios!B11</f>
        <v>Resumenes por Partidos Judiciales  TORRENT</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0.17240512691631063</v>
      </c>
      <c r="C9" s="459">
        <f>IF(ISNUMBER(
   IF(J_V="SI",(Datos!J9-Datos!T9)/Datos!T9,(Datos!J9+Datos!Z9-(Datos!T9+Datos!AH9))/(Datos!T9+Datos!AH9))
     ),IF(J_V="SI",(Datos!J9-Datos!T9)/Datos!T9,(Datos!J9+Datos!Z9-(Datos!T9+Datos!AH9))/(Datos!T9+Datos!AH9))," - ")</f>
        <v>8.6987704918032788E-2</v>
      </c>
      <c r="D9" s="459">
        <f>IF(ISNUMBER(
   IF(J_V="SI",(Datos!K9-Datos!U9)/Datos!U9,(Datos!K9+Datos!AA9-(Datos!U9+Datos!AI9))/(Datos!U9+Datos!AI9))
     ),IF(J_V="SI",(Datos!K9-Datos!U9)/Datos!U9,(Datos!K9+Datos!AA9-(Datos!U9+Datos!AI9))/(Datos!U9+Datos!AI9))," - ")</f>
        <v>9.4995114536966671E-2</v>
      </c>
      <c r="E9" s="459">
        <f>IF(ISNUMBER(
   IF(J_V="SI",(Datos!L9-Datos!V9)/Datos!V9,(Datos!L9+Datos!AB9-(Datos!V9+Datos!AJ9))/(Datos!V9+Datos!AJ9))
     ),IF(J_V="SI",(Datos!L9-Datos!V9)/Datos!V9,(Datos!L9+Datos!AB9-(Datos!V9+Datos!AJ9))/(Datos!V9+Datos!AJ9))," - ")</f>
        <v>0.11832797427652733</v>
      </c>
      <c r="F9" s="459">
        <f>IF(ISNUMBER((Datos!M9-Datos!W9)/Datos!W9),(Datos!M9-Datos!W9)/Datos!W9," - ")</f>
        <v>0.11428571428571428</v>
      </c>
      <c r="G9" s="460">
        <f>IF(ISNUMBER((Datos!N9-Datos!X9)/Datos!X9),(Datos!N9-Datos!X9)/Datos!X9," - ")</f>
        <v>0.12698412698412698</v>
      </c>
      <c r="H9" s="458">
        <f>IF(ISNUMBER(((NºAsuntos!G9/NºAsuntos!E9)-Datos!BD9)/Datos!BD9),((NºAsuntos!G9/NºAsuntos!E9)-Datos!BD9)/Datos!BD9," - ")</f>
        <v>7.366605512375851E-3</v>
      </c>
      <c r="I9" s="459">
        <f>IF(ISNUMBER(((NºAsuntos!I9/NºAsuntos!G9)-Datos!BE9)/Datos!BE9),((NºAsuntos!I9/NºAsuntos!G9)-Datos!BE9)/Datos!BE9," - ")</f>
        <v>2.1308642778216688E-2</v>
      </c>
      <c r="J9" s="464">
        <f>IF(ISNUMBER((('Resol  Asuntos'!D9/NºAsuntos!G9)-Datos!BF9)/Datos!BF9),(('Resol  Asuntos'!D9/NºAsuntos!G9)-Datos!BF9)/Datos!BF9," - ")</f>
        <v>-0.52439414084976532</v>
      </c>
      <c r="K9" s="465">
        <f>IF(ISNUMBER((((NºAsuntos!C9+NºAsuntos!E9)/NºAsuntos!G9)-Datos!BG9)/Datos!BG9),(((NºAsuntos!C9+NºAsuntos!E9)/NºAsuntos!G9)-Datos!BG9)/Datos!BG9," - ")</f>
        <v>1.527918204626609E-2</v>
      </c>
    </row>
    <row r="10" spans="1:11">
      <c r="A10" s="405" t="str">
        <f>Datos!A10</f>
        <v>Jdos. Violencia contra la mujer</v>
      </c>
      <c r="B10" s="458">
        <f>IF(ISNUMBER((Datos!I10-Datos!S10)/Datos!S10),(Datos!I10-Datos!S10)/Datos!S10," - ")</f>
        <v>0</v>
      </c>
      <c r="C10" s="459">
        <f>IF(ISNUMBER((Datos!J10-Datos!T10)/Datos!T10),(Datos!J10-Datos!T10)/Datos!T10," - ")</f>
        <v>0.22018348623853212</v>
      </c>
      <c r="D10" s="459">
        <f>IF(ISNUMBER((Datos!K10-Datos!U10)/Datos!U10),(Datos!K10-Datos!U10)/Datos!U10," - ")</f>
        <v>0.12041884816753927</v>
      </c>
      <c r="E10" s="459">
        <f>IF(ISNUMBER((Datos!L10-Datos!V10)/Datos!V10),(Datos!L10-Datos!V10)/Datos!V10," - ")</f>
        <v>0.11578947368421053</v>
      </c>
      <c r="F10" s="459">
        <f>IF(ISNUMBER((Datos!M10-Datos!W10)/Datos!W10),(Datos!M10-Datos!W10)/Datos!W10," - ")</f>
        <v>0.18367346938775511</v>
      </c>
      <c r="G10" s="460">
        <f>IF(ISNUMBER((Datos!N10-Datos!X10)/Datos!X10),(Datos!N10-Datos!X10)/Datos!X10," - ")</f>
        <v>0.22222222222222221</v>
      </c>
      <c r="H10" s="458">
        <f>IF(ISNUMBER(((NºAsuntos!G10/NºAsuntos!E10)-Datos!BD10)/Datos!BD10),((NºAsuntos!G10/NºAsuntos!E10)-Datos!BD10)/Datos!BD10," - ")</f>
        <v>-8.1761996614573035E-2</v>
      </c>
      <c r="I10" s="459">
        <f>IF(ISNUMBER(((NºAsuntos!I10/NºAsuntos!G10)-Datos!BE10)/Datos!BE10),((NºAsuntos!I10/NºAsuntos!G10)-Datos!BE10)/Datos!BE10," - ")</f>
        <v>-4.1318248893261701E-3</v>
      </c>
      <c r="J10" s="464">
        <f>IF(ISNUMBER((('Resol  Asuntos'!D10/NºAsuntos!G10)-Datos!BF10)/Datos!BF10),(('Resol  Asuntos'!D10/NºAsuntos!G10)-Datos!BF10)/Datos!BF10," - ")</f>
        <v>5.6456227350753313E-2</v>
      </c>
      <c r="K10" s="465">
        <f>IF(ISNUMBER((((NºAsuntos!C10+NºAsuntos!E10)/NºAsuntos!G10)-Datos!BG10)/Datos!BG10),(((NºAsuntos!C10+NºAsuntos!E10)/NºAsuntos!G10)-Datos!BG10)/Datos!BG10," - ")</f>
        <v>2.939595712280919E-2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0.16838487972508592</v>
      </c>
      <c r="C13" s="858">
        <f>IF(ISNUMBER(
   IF(J_V="SI",(Datos!J13-Datos!T13)/Datos!T13,(Datos!J13+Datos!Z13-(Datos!T13+Datos!AH13))/(Datos!T13+Datos!AH13))
     ),IF(J_V="SI",(Datos!J13-Datos!T13)/Datos!T13,(Datos!J13+Datos!Z13-(Datos!T13+Datos!AH13))/(Datos!T13+Datos!AH13))," - ")</f>
        <v>8.9897775105231503E-2</v>
      </c>
      <c r="D13" s="858">
        <f>IF(ISNUMBER(
   IF(J_V="SI",(Datos!K13-Datos!U13)/Datos!U13,(Datos!K13+Datos!AA13-(Datos!U13+Datos!AI13))/(Datos!U13+Datos!AI13))
     ),IF(J_V="SI",(Datos!K13-Datos!U13)/Datos!U13,(Datos!K13+Datos!AA13-(Datos!U13+Datos!AI13))/(Datos!U13+Datos!AI13))," - ")</f>
        <v>9.5511593278025955E-2</v>
      </c>
      <c r="E13" s="858">
        <f>IF(ISNUMBER(
   IF(J_V="SI",(Datos!L13-Datos!V13)/Datos!V13,(Datos!L13+Datos!AB13-(Datos!V13+Datos!AJ13))/(Datos!V13+Datos!AJ13))
     ),IF(J_V="SI",(Datos!L13-Datos!V13)/Datos!V13,(Datos!L13+Datos!AB13-(Datos!V13+Datos!AJ13))/(Datos!V13+Datos!AJ13))," - ")</f>
        <v>0.11827731092436974</v>
      </c>
      <c r="F13" s="859">
        <f>IF(ISNUMBER((Datos!M13-Datos!W13)/Datos!W13),(Datos!M13-Datos!W13)/Datos!W13," - ")</f>
        <v>0.11607142857142858</v>
      </c>
      <c r="G13" s="860">
        <f>IF(ISNUMBER((Datos!N13-Datos!X13)/Datos!X13),(Datos!N13-Datos!X13)/Datos!X13," - ")</f>
        <v>0.12909583641290959</v>
      </c>
      <c r="H13" s="860">
        <f>IF(ISNUMBER(((NºAsuntos!G13/NºAsuntos!E13)-Datos!BD13)/Datos!BD13),((NºAsuntos!G13/NºAsuntos!E13)-Datos!BD13)/Datos!BD13," - ")</f>
        <v>5.1507749635074452E-3</v>
      </c>
      <c r="I13" s="860">
        <f>IF(ISNUMBER(((NºAsuntos!I13/NºAsuntos!G13)-Datos!BE13)/Datos!BE13),((NºAsuntos!I13/NºAsuntos!G13)-Datos!BE13)/Datos!BE13," - ")</f>
        <v>2.0780900709798558E-2</v>
      </c>
      <c r="J13" s="860">
        <f>IF(ISNUMBER((('Resol  Asuntos'!D13/NºAsuntos!G13)-Datos!BF13)/Datos!BF13),(('Resol  Asuntos'!D13/NºAsuntos!G13)-Datos!BF13)/Datos!BF13," - ")</f>
        <v>-0.51723917130195673</v>
      </c>
      <c r="K13" s="860">
        <f>IF(ISNUMBER((((NºAsuntos!C13+NºAsuntos!E13)/NºAsuntos!G13)-Datos!BG13)/Datos!BG13),(((NºAsuntos!C13+NºAsuntos!E13)/NºAsuntos!G13)-Datos!BG13)/Datos!BG13," - ")</f>
        <v>1.5646945188329559E-2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0.16103603603603603</v>
      </c>
      <c r="C15" s="459">
        <f>IF(ISNUMBER(
   IF(D_I="SI",(Datos!J15-Datos!T15)/Datos!T15,(Datos!J15+Datos!AD15-(Datos!T15+Datos!AL15))/(Datos!T15+Datos!AL15))
     ),IF(D_I="SI",(Datos!J15-Datos!T15)/Datos!T15,(Datos!J15+Datos!AD15-(Datos!T15+Datos!AL15))/(Datos!T15+Datos!AL15))," - ")</f>
        <v>2.458448753462604E-2</v>
      </c>
      <c r="D15" s="459">
        <f>IF(ISNUMBER(
   IF(D_I="SI",(Datos!K15-Datos!U15)/Datos!U15,(Datos!K15+Datos!AE15-(Datos!U15+Datos!AM15))/(Datos!U15+Datos!AM15))
     ),IF(D_I="SI",(Datos!K15-Datos!U15)/Datos!U15,(Datos!K15+Datos!AE15-(Datos!U15+Datos!AM15))/(Datos!U15+Datos!AM15))," - ")</f>
        <v>3.7645937574457944E-2</v>
      </c>
      <c r="E15" s="459">
        <f>IF(ISNUMBER(
   IF(D_I="SI",(Datos!L15-Datos!V15)/Datos!V15,(Datos!L15+Datos!AF15-(Datos!V15+Datos!AN15))/(Datos!V15+Datos!AN15))
     ),IF(D_I="SI",(Datos!L15-Datos!V15)/Datos!V15,(Datos!L15+Datos!AF15-(Datos!V15+Datos!AN15))/(Datos!V15+Datos!AN15))," - ")</f>
        <v>9.0203685741998066E-2</v>
      </c>
      <c r="F15" s="459">
        <f>IF(ISNUMBER((Datos!M15-Datos!W15)/Datos!W15),(Datos!M15-Datos!W15)/Datos!W15," - ")</f>
        <v>0.1107837360047142</v>
      </c>
      <c r="G15" s="460">
        <f>IF(ISNUMBER((Datos!N15-Datos!X15)/Datos!X15),(Datos!N15-Datos!X15)/Datos!X15," - ")</f>
        <v>-5.9916850085595504E-2</v>
      </c>
      <c r="H15" s="458">
        <f>IF(ISNUMBER(((NºAsuntos!G15/NºAsuntos!E15)-Datos!BD15)/Datos!BD15),((NºAsuntos!G15/NºAsuntos!E15)-Datos!BD15)/Datos!BD15," - ")</f>
        <v>1.2748045865168837E-2</v>
      </c>
      <c r="I15" s="459">
        <f>IF(ISNUMBER(((NºAsuntos!I15/NºAsuntos!G15)-Datos!BE15)/Datos!BE15),((NºAsuntos!I15/NºAsuntos!G15)-Datos!BE15)/Datos!BE15," - ")</f>
        <v>5.0650945823000358E-2</v>
      </c>
      <c r="J15" s="464">
        <f>IF(ISNUMBER((('Resol  Asuntos'!D15/NºAsuntos!G15)-Datos!BF15)/Datos!BF15),(('Resol  Asuntos'!D15/NºAsuntos!G15)-Datos!BF15)/Datos!BF15," - ")</f>
        <v>7.0484349026816356E-2</v>
      </c>
      <c r="K15" s="465">
        <f>IF(ISNUMBER((((NºAsuntos!C15+NºAsuntos!E15)/NºAsuntos!G15)-Datos!BG15)/Datos!BG15),(((NºAsuntos!C15+NºAsuntos!E15)/NºAsuntos!G15)-Datos!BG15)/Datos!BG15," - ")</f>
        <v>9.7827177111788812E-3</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0.29768786127167629</v>
      </c>
      <c r="C17" s="459">
        <f>IF(ISNUMBER(
   IF(D_I="SI",(Datos!J17-Datos!T17)/Datos!T17,(Datos!J17+Datos!AD17-(Datos!T17+Datos!AL17))/(Datos!T17+Datos!AL17))
     ),IF(D_I="SI",(Datos!J17-Datos!T17)/Datos!T17,(Datos!J17+Datos!AD17-(Datos!T17+Datos!AL17))/(Datos!T17+Datos!AL17))," - ")</f>
        <v>0.38883968113374667</v>
      </c>
      <c r="D17" s="459">
        <f>IF(ISNUMBER(
   IF(D_I="SI",(Datos!K17-Datos!U17)/Datos!U17,(Datos!K17+Datos!AE17-(Datos!U17+Datos!AM17))/(Datos!U17+Datos!AM17))
     ),IF(D_I="SI",(Datos!K17-Datos!U17)/Datos!U17,(Datos!K17+Datos!AE17-(Datos!U17+Datos!AM17))/(Datos!U17+Datos!AM17))," - ")</f>
        <v>0.57115009746588696</v>
      </c>
      <c r="E17" s="459">
        <f>IF(ISNUMBER(
   IF(D_I="SI",(Datos!L17-Datos!V17)/Datos!V17,(Datos!L17+Datos!AF17-(Datos!V17+Datos!AN17))/(Datos!V17+Datos!AN17))
     ),IF(D_I="SI",(Datos!L17-Datos!V17)/Datos!V17,(Datos!L17+Datos!AF17-(Datos!V17+Datos!AN17))/(Datos!V17+Datos!AN17))," - ")</f>
        <v>-0.11358574610244988</v>
      </c>
      <c r="F17" s="459">
        <f>IF(ISNUMBER((Datos!M17-Datos!W17)/Datos!W17),(Datos!M17-Datos!W17)/Datos!W17," - ")</f>
        <v>1.4675324675324675</v>
      </c>
      <c r="G17" s="460">
        <f>IF(ISNUMBER((Datos!N17-Datos!X17)/Datos!X17),(Datos!N17-Datos!X17)/Datos!X17," - ")</f>
        <v>0.61988304093567248</v>
      </c>
      <c r="H17" s="458">
        <f>IF(ISNUMBER(((NºAsuntos!G17/NºAsuntos!E17)-Datos!BD17)/Datos!BD17),((NºAsuntos!G17/NºAsuntos!E17)-Datos!BD17)/Datos!BD17," - ")</f>
        <v>0.13126815053506788</v>
      </c>
      <c r="I17" s="459">
        <f>IF(ISNUMBER(((NºAsuntos!I17/NºAsuntos!G17)-Datos!BE17)/Datos!BE17),((NºAsuntos!I17/NºAsuntos!G17)-Datos!BE17)/Datos!BE17," - ")</f>
        <v>-0.43581822301557915</v>
      </c>
      <c r="J17" s="464">
        <f>IF(ISNUMBER((('Resol  Asuntos'!D17/NºAsuntos!G17)-Datos!BF17)/Datos!BF17),(('Resol  Asuntos'!D17/NºAsuntos!G17)-Datos!BF17)/Datos!BF17," - ")</f>
        <v>0.57052624794560292</v>
      </c>
      <c r="K17" s="465">
        <f>IF(ISNUMBER((((NºAsuntos!C17+NºAsuntos!E17)/NºAsuntos!G17)-Datos!BG17)/Datos!BG17),(((NºAsuntos!C17+NºAsuntos!E17)/NºAsuntos!G17)-Datos!BG17)/Datos!BG17," - ")</f>
        <v>-0.12964545569247587</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0.18331762488218661</v>
      </c>
      <c r="C18" s="858">
        <f>IF(ISNUMBER(
   IF(Criterios!B14="SI",(Datos!J18-Datos!T18)/Datos!T18,(Datos!J18+Datos!AD18-(Datos!T18+Datos!AL18))/(Datos!T18+Datos!AL18))
     ),IF(Criterios!B14="SI",(Datos!J18-Datos!T18)/Datos!T18,(Datos!J18+Datos!AD18-(Datos!T18+Datos!AL18))/(Datos!T18+Datos!AL18))," - ")</f>
        <v>6.6578168079240274E-2</v>
      </c>
      <c r="D18" s="858">
        <f>IF(ISNUMBER(
   IF(Criterios!B14="SI",(Datos!K18-Datos!U18)/Datos!U18,(Datos!K18+Datos!AE18-(Datos!U18+Datos!AM18))/(Datos!U18+Datos!AM18))
     ),IF(Criterios!B14="SI",(Datos!K18-Datos!U18)/Datos!U18,(Datos!K18+Datos!AE18-(Datos!U18+Datos!AM18))/(Datos!U18+Datos!AM18))," - ")</f>
        <v>9.5753715498938435E-2</v>
      </c>
      <c r="E18" s="858">
        <f>IF(ISNUMBER(
   IF(Criterios!B14="SI",(Datos!L18-Datos!V18)/Datos!V18,(Datos!L18+Datos!AF18-(Datos!V18+Datos!AN18))/(Datos!V18+Datos!AN18))
     ),IF(Criterios!B14="SI",(Datos!L18-Datos!V18)/Datos!V18,(Datos!L18+Datos!AF18-(Datos!V18+Datos!AN18))/(Datos!V18+Datos!AN18))," - ")</f>
        <v>5.3763440860215055E-2</v>
      </c>
      <c r="F18" s="859">
        <f>IF(ISNUMBER((Datos!M18-Datos!W18)/Datos!W18),(Datos!M18-Datos!W18)/Datos!W18," - ")</f>
        <v>0.16967305524239007</v>
      </c>
      <c r="G18" s="860">
        <f>IF(ISNUMBER((Datos!N18-Datos!X18)/Datos!X18),(Datos!N18-Datos!X18)/Datos!X18," - ")</f>
        <v>1.5862668405041285E-2</v>
      </c>
      <c r="H18" s="860">
        <f>IF(ISNUMBER(((NºAsuntos!G18/NºAsuntos!E18)-Datos!BD18)/Datos!BD18),((NºAsuntos!G18/NºAsuntos!E18)-Datos!BD18)/Datos!BD18," - ")</f>
        <v>2.7354345225572507E-2</v>
      </c>
      <c r="I18" s="860">
        <f>IF(ISNUMBER(((NºAsuntos!I18/NºAsuntos!G18)-Datos!BE18)/Datos!BE18),((NºAsuntos!I18/NºAsuntos!G18)-Datos!BE18)/Datos!BE18," - ")</f>
        <v>-3.8320905550937139E-2</v>
      </c>
      <c r="J18" s="860">
        <f>IF(ISNUMBER((('Resol  Asuntos'!D18/NºAsuntos!G18)-Datos!BF18)/Datos!BF18),(('Resol  Asuntos'!D18/NºAsuntos!G18)-Datos!BF18)/Datos!BF18," - ")</f>
        <v>6.7459812089063501E-2</v>
      </c>
      <c r="K18" s="860">
        <f>IF(ISNUMBER((((NºAsuntos!C18+NºAsuntos!E18)/NºAsuntos!G18)-Datos!BG18)/Datos!BG18),(((NºAsuntos!C18+NºAsuntos!E18)/NºAsuntos!G18)-Datos!BG18)/Datos!BG18," - ")</f>
        <v>-7.6521325935997413E-3</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0.17349903163331182</v>
      </c>
      <c r="C19" s="805">
        <f>IF(ISNUMBER(
   IF(J_V="SI",(Datos!J19-Datos!T19)/Datos!T19,(Datos!J19+Datos!Z19-(Datos!T19+Datos!AH19))/(Datos!T19+Datos!AH19))
     ),IF(J_V="SI",(Datos!J19-Datos!T19)/Datos!T19,(Datos!J19+Datos!Z19-(Datos!T19+Datos!AH19))/(Datos!T19+Datos!AH19))," - ")</f>
        <v>7.8347073997268729E-2</v>
      </c>
      <c r="D19" s="805">
        <f>IF(ISNUMBER(
   IF(J_V="SI",(Datos!K19-Datos!U19)/Datos!U19,(Datos!K19+Datos!AA19-(Datos!U19+Datos!AI19))/(Datos!U19+Datos!AI19))
     ),IF(J_V="SI",(Datos!K19-Datos!U19)/Datos!U19,(Datos!K19+Datos!AA19-(Datos!U19+Datos!AI19))/(Datos!U19+Datos!AI19))," - ")</f>
        <v>9.5632770162575709E-2</v>
      </c>
      <c r="E19" s="805">
        <f>IF(ISNUMBER(
   IF(J_V="SI",(Datos!L19-Datos!V19)/Datos!V19,(Datos!L19+Datos!AB19-(Datos!V19+Datos!AJ19))/(Datos!V19+Datos!AJ19))
     ),IF(J_V="SI",(Datos!L19-Datos!V19)/Datos!V19,(Datos!L19+Datos!AB19-(Datos!V19+Datos!AJ19))/(Datos!V19+Datos!AJ19))," - ")</f>
        <v>9.5997799477375884E-2</v>
      </c>
      <c r="F19" s="806">
        <f>IF(ISNUMBER((Datos!M19-Datos!W19)/Datos!W19),(Datos!M19-Datos!W19)/Datos!W19," - ")</f>
        <v>0.14192495921696574</v>
      </c>
      <c r="G19" s="807">
        <f>IF(ISNUMBER((Datos!N19-Datos!X19)/Datos!X19),(Datos!N19-Datos!X19)/Datos!X19," - ")</f>
        <v>6.8929684793903712E-2</v>
      </c>
      <c r="H19" s="808">
        <f>IF(ISNUMBER((Tasas!B19-Datos!BD19)/Datos!BD19),(Tasas!B19-Datos!BD19)/Datos!BD19," - ")</f>
        <v>1.6029807639975815E-2</v>
      </c>
      <c r="I19" s="809">
        <f>IF(ISNUMBER((Tasas!C19-Datos!BE19)/Datos!BE19),(Tasas!C19-Datos!BE19)/Datos!BE19," - ")</f>
        <v>3.331675765283351E-4</v>
      </c>
      <c r="J19" s="810">
        <f>IF(ISNUMBER((Tasas!D19-Datos!BF19)/Datos!BF19),(Tasas!D19-Datos!BF19)/Datos!BF19," - ")</f>
        <v>-0.33815586636810657</v>
      </c>
      <c r="K19" s="810">
        <f>IF(ISNUMBER((Tasas!E19-Datos!BG19)/Datos!BG19),(Tasas!E19-Datos!BG19)/Datos!BG19," - ")</f>
        <v>4.9456025512742315E-3</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MSwoqoLbVE6iATZDLAF11Bbtj8Blk8SRCB3GQfwsRfUtamTmN/RONEDdI5AQcEWFyLy7W0W9L5dddwpvK/p1fg==" saltValue="OJRySGUb2H4JVvh5tUt3A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COMUNIDAD VALENCIANA</v>
      </c>
    </row>
    <row r="3" spans="1:7" ht="19.5">
      <c r="A3" s="439" t="s">
        <v>12</v>
      </c>
      <c r="B3" s="394" t="str">
        <f>Criterios!A10 &amp;"  "&amp;Criterios!B10</f>
        <v>Provincias  VALENCIA</v>
      </c>
    </row>
    <row r="4" spans="1:7" ht="11.25" customHeight="1" thickBot="1">
      <c r="B4" s="394" t="str">
        <f>Criterios!A11 &amp;"  "&amp;Criterios!B11</f>
        <v>Resumenes por Partidos Judiciales  TORRENT</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0.95070223395230469</v>
      </c>
      <c r="C9" s="446">
        <f>IF(ISNUMBER(NºAsuntos!I9/NºAsuntos!G9),NºAsuntos!I9/NºAsuntos!G9," - ")</f>
        <v>0.51725163593099344</v>
      </c>
      <c r="D9" s="447">
        <f>IF(ISNUMBER('Resol  Asuntos'!D9/NºAsuntos!G9),'Resol  Asuntos'!D9/NºAsuntos!G9," - ")</f>
        <v>0.20493753718024985</v>
      </c>
      <c r="E9" s="448">
        <f>IF(ISNUMBER((NºAsuntos!C9+NºAsuntos!E9)/NºAsuntos!G9),(NºAsuntos!C9+NºAsuntos!E9)/NºAsuntos!G9," - ")</f>
        <v>1.5143763632758278</v>
      </c>
      <c r="G9" s="466"/>
    </row>
    <row r="10" spans="1:7">
      <c r="A10" s="405" t="str">
        <f>Datos!A10</f>
        <v>Jdos. Violencia contra la mujer</v>
      </c>
      <c r="B10" s="445">
        <f>IF(ISNUMBER(NºAsuntos!G10/NºAsuntos!E10),NºAsuntos!G10/NºAsuntos!E10," - ")</f>
        <v>0.80451127819548873</v>
      </c>
      <c r="C10" s="446">
        <f>IF(ISNUMBER(NºAsuntos!I10/NºAsuntos!G10),NºAsuntos!I10/NºAsuntos!G10," - ")</f>
        <v>0.49532710280373832</v>
      </c>
      <c r="D10" s="447">
        <f>IF(ISNUMBER('Resol  Asuntos'!D10/NºAsuntos!G10),'Resol  Asuntos'!D10/NºAsuntos!G10," - ")</f>
        <v>0.27102803738317754</v>
      </c>
      <c r="E10" s="448">
        <f>IF(ISNUMBER((NºAsuntos!C10+NºAsuntos!E10)/NºAsuntos!G10),(NºAsuntos!C10+NºAsuntos!E10)/NºAsuntos!G10," - ")</f>
        <v>1.6869158878504673</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0.94712643678160924</v>
      </c>
      <c r="C13" s="862">
        <f>IF(ISNUMBER(NºAsuntos!I13/NºAsuntos!G13),NºAsuntos!I13/NºAsuntos!G13," - ")</f>
        <v>0.51679611650485435</v>
      </c>
      <c r="D13" s="863">
        <f>IF(ISNUMBER('Resol  Asuntos'!D13/NºAsuntos!G13),'Resol  Asuntos'!D13/NºAsuntos!G13," - ")</f>
        <v>0.20631067961165048</v>
      </c>
      <c r="E13" s="864">
        <f>IF(ISNUMBER((NºAsuntos!C13+NºAsuntos!E13)/NºAsuntos!G13),(NºAsuntos!C13+NºAsuntos!E13)/NºAsuntos!G13," - ")</f>
        <v>1.5179611650485436</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0.98118733806466152</v>
      </c>
      <c r="C15" s="446">
        <f>IF(ISNUMBER(NºAsuntos!I15/NºAsuntos!G15),NºAsuntos!I15/NºAsuntos!G15," - ")</f>
        <v>0.25809414466130887</v>
      </c>
      <c r="D15" s="447">
        <f>IF(ISNUMBER('Resol  Asuntos'!D15/NºAsuntos!G15),'Resol  Asuntos'!D15/NºAsuntos!G15," - ")</f>
        <v>0.21641791044776118</v>
      </c>
      <c r="E15" s="448">
        <f>IF(ISNUMBER((NºAsuntos!C15+NºAsuntos!E15)/NºAsuntos!G15),(NºAsuntos!C15+NºAsuntos!E15)/NºAsuntos!G15," - ")</f>
        <v>1.2559127439724456</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1.028061224489796</v>
      </c>
      <c r="C17" s="446">
        <f>IF(ISNUMBER(NºAsuntos!I17/NºAsuntos!G17),NºAsuntos!I17/NºAsuntos!G17," - ")</f>
        <v>0.24689826302729528</v>
      </c>
      <c r="D17" s="447">
        <f>IF(ISNUMBER('Resol  Asuntos'!D17/NºAsuntos!G17),'Resol  Asuntos'!D17/NºAsuntos!G17," - ")</f>
        <v>0.11786600496277916</v>
      </c>
      <c r="E17" s="448">
        <f>IF(ISNUMBER((NºAsuntos!C17+NºAsuntos!E17)/NºAsuntos!G17),(NºAsuntos!C17+NºAsuntos!E17)/NºAsuntos!G17," - ")</f>
        <v>1.251240694789082</v>
      </c>
      <c r="G17" s="466"/>
    </row>
    <row r="18" spans="1:7" ht="14.25" thickTop="1" thickBot="1">
      <c r="A18" s="851" t="str">
        <f>Datos!A18</f>
        <v>TOTAL</v>
      </c>
      <c r="B18" s="861">
        <f>IF(ISNUMBER(NºAsuntos!G18/NºAsuntos!E18),NºAsuntos!G18/NºAsuntos!E18," - ")</f>
        <v>0.9882240306366683</v>
      </c>
      <c r="C18" s="862">
        <f>IF(ISNUMBER(NºAsuntos!I18/NºAsuntos!G18),NºAsuntos!I18/NºAsuntos!G18," - ")</f>
        <v>0.25634566944390624</v>
      </c>
      <c r="D18" s="865">
        <f>IF(ISNUMBER('Resol  Asuntos'!D18/NºAsuntos!G18),'Resol  Asuntos'!D18/NºAsuntos!G18," - ")</f>
        <v>0.20102693276496802</v>
      </c>
      <c r="E18" s="864">
        <f>IF(ISNUMBER((NºAsuntos!C18+NºAsuntos!E18)/NºAsuntos!G18),(NºAsuntos!C18+NºAsuntos!E18)/NºAsuntos!G18," - ")</f>
        <v>1.2551831040496029</v>
      </c>
      <c r="G18" s="466"/>
    </row>
    <row r="19" spans="1:7" ht="15.75" customHeight="1" thickTop="1" thickBot="1">
      <c r="A19" s="796" t="str">
        <f>Datos!A19</f>
        <v>TOTAL JURISDICCIONES</v>
      </c>
      <c r="B19" s="811">
        <f>IF(ISNUMBER(NºAsuntos!G19/NºAsuntos!E19),NºAsuntos!G19/NºAsuntos!E19," - ")</f>
        <v>0.96726078799249526</v>
      </c>
      <c r="C19" s="812">
        <f>IF(ISNUMBER(NºAsuntos!I19/NºAsuntos!G19),NºAsuntos!I19/NºAsuntos!G19," - ")</f>
        <v>0.38643196586170109</v>
      </c>
      <c r="D19" s="813">
        <f>IF(ISNUMBER('Resol  Asuntos'!D19/NºAsuntos!G19),'Resol  Asuntos'!D19/NºAsuntos!G19," - ")</f>
        <v>0.20366598778004075</v>
      </c>
      <c r="E19" s="814">
        <f>IF(ISNUMBER((NºAsuntos!C19+NºAsuntos!E19)/NºAsuntos!G19),(NºAsuntos!C19+NºAsuntos!E19)/NºAsuntos!G19," - ")</f>
        <v>1.386431965861701</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5Tw84KTzklRUUXQfRf4YZTR/i1crfIRq9RbaUZDRmcjFbvzJOLk8E7En+gAaLDMz+7xYgLD1COTKoHRBpN3fjA==" saltValue="NXzJI63dGn00s+4Yp21pc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COMUNIDAD VALENCIANA</v>
      </c>
      <c r="G2" s="266"/>
      <c r="H2" s="265"/>
      <c r="I2" s="265"/>
      <c r="J2" s="265"/>
      <c r="K2" s="265"/>
      <c r="L2" s="265" t="str">
        <f>Criterios!A10 &amp;"  "&amp;Criterios!B10</f>
        <v>Provincias  VALENCIA</v>
      </c>
      <c r="N2" s="265" t="str">
        <f>Criterios!A11 &amp;"  "&amp;Criterios!B11</f>
        <v>Resumenes por Partidos Judiciales  TORRENT</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6</v>
      </c>
      <c r="B9" s="180" t="s">
        <v>246</v>
      </c>
      <c r="C9" s="163" t="str">
        <f>Datos!A9</f>
        <v xml:space="preserve">Jdos. 1ª Instancia   </v>
      </c>
      <c r="D9" s="163"/>
      <c r="E9" s="1028">
        <f>IF(ISNUMBER(Datos!AQ9),Datos!AQ9," - ")</f>
        <v>6</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2394</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2596</v>
      </c>
      <c r="Y9" s="337">
        <f>SUM(W9:X9)</f>
        <v>2596</v>
      </c>
      <c r="Z9" s="338" t="str">
        <f>IF(ISNUMBER(Datos!CC9),Datos!CC9," - ")</f>
        <v xml:space="preserve"> - </v>
      </c>
      <c r="AA9" s="335" t="str">
        <f>IF(ISNUMBER(IF(J_V="SI",Datos!L9,Datos!L9+Datos!AB9)-IF(Monitorios="SI",Datos!CD9,0)),
                          IF(J_V="SI",Datos!L9,Datos!L9+Datos!AB9)-IF(Monitorios="SI",Datos!CD9,0),
                          " - ")</f>
        <v xml:space="preserve"> - </v>
      </c>
      <c r="AB9" s="337">
        <f>IF(ISNUMBER(Datos!R9),Datos!R9," - ")</f>
        <v>9696</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2067</v>
      </c>
      <c r="AJ9" s="232" t="str">
        <f>IF(ISNUMBER(Datos!BW9),Datos!BW9," - ")</f>
        <v xml:space="preserve"> - </v>
      </c>
      <c r="AK9" s="231" t="str">
        <f>IF(ISNUMBER(Datos!BX9),Datos!BX9," - ")</f>
        <v xml:space="preserve"> - </v>
      </c>
      <c r="AL9" s="246">
        <f>IF(ISNUMBER(NºAsuntos!G9/NºAsuntos!E9),NºAsuntos!G9/NºAsuntos!E9," - ")</f>
        <v>0.95070223395230469</v>
      </c>
      <c r="AM9" s="263">
        <f>IF(ISNUMBER(((NºAsuntos!I9/NºAsuntos!G9)*11)/factor_trimestre),((NºAsuntos!I9/NºAsuntos!G9)*11)/factor_trimestre," - ")</f>
        <v>5.6897679952409277</v>
      </c>
      <c r="AN9" s="247">
        <f>IF(ISNUMBER('Resol  Asuntos'!D9/NºAsuntos!G9),'Resol  Asuntos'!D9/NºAsuntos!G9," - ")</f>
        <v>0.20493753718024985</v>
      </c>
      <c r="AO9" s="248">
        <f>IF(ISNUMBER((NºAsuntos!C9+NºAsuntos!E9)/NºAsuntos!G9),(NºAsuntos!C9+NºAsuntos!E9)/NºAsuntos!G9," - ")</f>
        <v>1.5143763632758278</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1</v>
      </c>
      <c r="F10" s="228">
        <f>IF(ISNUMBER(Datos!L10+Datos!K10-Datos!J10-K10),Datos!L10+Datos!K10-Datos!J10-K10," - ")</f>
        <v>54</v>
      </c>
      <c r="G10" s="336">
        <f>IF(ISNUMBER(Datos!I10),Datos!I10," - ")</f>
        <v>95</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57</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214</v>
      </c>
      <c r="X10" s="229">
        <f>IF(ISNUMBER(Datos!Q10),Datos!Q10," - ")</f>
        <v>52</v>
      </c>
      <c r="Y10" s="337">
        <f t="shared" ref="Y10:Y12" si="0">SUM(W10:X10)</f>
        <v>266</v>
      </c>
      <c r="Z10" s="338" t="str">
        <f>IF(ISNUMBER(Datos!CC10),Datos!CC10," - ")</f>
        <v xml:space="preserve"> - </v>
      </c>
      <c r="AA10" s="335">
        <f>IF(ISNUMBER(Datos!L10),Datos!L10,"-")</f>
        <v>106</v>
      </c>
      <c r="AB10" s="337">
        <f>IF(ISNUMBER(Datos!R10),Datos!R10," - ")</f>
        <v>75</v>
      </c>
      <c r="AC10" s="337">
        <f t="shared" ref="AC10:AC12" si="1">IF(ISNUMBER(AA10+AB10),AA10+AB10," - ")</f>
        <v>181</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58</v>
      </c>
      <c r="AJ10" s="234" t="str">
        <f>IF(ISNUMBER(Datos!BW10),Datos!BW10," - ")</f>
        <v xml:space="preserve"> - </v>
      </c>
      <c r="AK10" s="235" t="str">
        <f>IF(ISNUMBER(Datos!BX10),Datos!BX10," - ")</f>
        <v xml:space="preserve"> - </v>
      </c>
      <c r="AL10" s="246">
        <f>IF(ISNUMBER(NºAsuntos!G10/NºAsuntos!E10),NºAsuntos!G10/NºAsuntos!E10," - ")</f>
        <v>0.80451127819548873</v>
      </c>
      <c r="AM10" s="263">
        <f>IF(ISNUMBER(((NºAsuntos!I10/NºAsuntos!G10)*11)/factor_trimestre),((NºAsuntos!I10/NºAsuntos!G10)*11)/factor_trimestre," - ")</f>
        <v>5.4485981308411215</v>
      </c>
      <c r="AN10" s="247">
        <f>IF(ISNUMBER('Resol  Asuntos'!D10/NºAsuntos!G10),'Resol  Asuntos'!D10/NºAsuntos!G10," - ")</f>
        <v>0.27102803738317754</v>
      </c>
      <c r="AO10" s="248">
        <f>IF(ISNUMBER((NºAsuntos!C10+NºAsuntos!E10)/NºAsuntos!G10),(NºAsuntos!C10+NºAsuntos!E10)/NºAsuntos!G10," - ")</f>
        <v>1.6869158878504673</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246</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7</v>
      </c>
      <c r="F13" s="868">
        <f t="shared" si="3"/>
        <v>54</v>
      </c>
      <c r="G13" s="869">
        <f t="shared" si="3"/>
        <v>95</v>
      </c>
      <c r="H13" s="868">
        <f t="shared" si="3"/>
        <v>0</v>
      </c>
      <c r="I13" s="870">
        <f t="shared" si="3"/>
        <v>0</v>
      </c>
      <c r="J13" s="870">
        <f t="shared" si="3"/>
        <v>0</v>
      </c>
      <c r="K13" s="870">
        <f t="shared" si="3"/>
        <v>0</v>
      </c>
      <c r="L13" s="870">
        <f t="shared" si="3"/>
        <v>2451</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214</v>
      </c>
      <c r="X13" s="870">
        <f t="shared" si="4"/>
        <v>2648</v>
      </c>
      <c r="Y13" s="871">
        <f t="shared" si="4"/>
        <v>2862</v>
      </c>
      <c r="Z13" s="871">
        <f t="shared" si="4"/>
        <v>0</v>
      </c>
      <c r="AA13" s="871">
        <f t="shared" si="4"/>
        <v>106</v>
      </c>
      <c r="AB13" s="871">
        <f t="shared" si="4"/>
        <v>9771</v>
      </c>
      <c r="AC13" s="871">
        <f t="shared" si="4"/>
        <v>181</v>
      </c>
      <c r="AD13" s="871">
        <f t="shared" si="4"/>
        <v>0</v>
      </c>
      <c r="AE13" s="875">
        <f t="shared" si="4"/>
        <v>0</v>
      </c>
      <c r="AF13" s="868">
        <f t="shared" si="4"/>
        <v>0</v>
      </c>
      <c r="AG13" s="876">
        <f t="shared" si="4"/>
        <v>0</v>
      </c>
      <c r="AH13" s="873">
        <f t="shared" si="4"/>
        <v>0</v>
      </c>
      <c r="AI13" s="868">
        <f t="shared" si="4"/>
        <v>2125</v>
      </c>
      <c r="AJ13" s="870">
        <f t="shared" si="4"/>
        <v>0</v>
      </c>
      <c r="AK13" s="873">
        <f>SUBTOTAL(9,AK9:AK12)</f>
        <v>0</v>
      </c>
      <c r="AL13" s="877">
        <f>IF(ISNUMBER(NºAsuntos!G13/NºAsuntos!E13),NºAsuntos!G13/NºAsuntos!E13," - ")</f>
        <v>0.94712643678160924</v>
      </c>
      <c r="AM13" s="877">
        <f>IF(ISNUMBER(((NºAsuntos!I13/NºAsuntos!G13)*11)/factor_trimestre),((NºAsuntos!I13/NºAsuntos!G13)*11)/factor_trimestre," - ")</f>
        <v>5.6847572815533978</v>
      </c>
      <c r="AN13" s="878">
        <f>IF(ISNUMBER('Resol  Asuntos'!D13/NºAsuntos!G13),'Resol  Asuntos'!D13/NºAsuntos!G13," - ")</f>
        <v>0.20631067961165048</v>
      </c>
      <c r="AO13" s="879">
        <f>IF(ISNUMBER((NºAsuntos!C13+NºAsuntos!E13)/NºAsuntos!G13),(NºAsuntos!C13+NºAsuntos!E13)/NºAsuntos!G13," - ")</f>
        <v>1.5179611650485436</v>
      </c>
      <c r="AP13" s="880" t="str">
        <f t="shared" si="2"/>
        <v xml:space="preserve"> - </v>
      </c>
      <c r="AQ13" s="880">
        <f>IF(ISNUMBER((H13-W13+K13)/(F13)),(H13-W13+K13)/(F13)," - ")</f>
        <v>-3.9629629629629628</v>
      </c>
      <c r="AR13" s="881">
        <f>IF(ISNUMBER((Datos!P13-Datos!Q13)/(Datos!R13-Datos!P13+Datos!Q13)),(Datos!P13-Datos!Q13)/(Datos!R13-Datos!P13+Datos!Q13)," - ")</f>
        <v>-1.9763242375601925E-2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3</v>
      </c>
      <c r="B15" s="278" t="s">
        <v>396</v>
      </c>
      <c r="C15" s="163" t="str">
        <f>Datos!A15</f>
        <v xml:space="preserve">Jdos. Instrucción                               </v>
      </c>
      <c r="D15" s="163"/>
      <c r="E15" s="1028">
        <f>IF(ISNUMBER(Datos!AQ15),Datos!AQ15," - ")</f>
        <v>3</v>
      </c>
      <c r="F15" s="228">
        <f>IF(ISNUMBER(AA15+W15-Datos!J15-K15),AA15+W15-Datos!J15-K15," - ")</f>
        <v>2081</v>
      </c>
      <c r="G15" s="336">
        <f>IF(ISNUMBER(IF(D_I="SI",Datos!I15,Datos!I15+Datos!AC15)),IF(D_I="SI",Datos!I15,Datos!I15+Datos!AC15)," - ")</f>
        <v>2062</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902</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8710</v>
      </c>
      <c r="X15" s="229">
        <f>IF(ISNUMBER(Datos!Q15),Datos!Q15," - ")</f>
        <v>897</v>
      </c>
      <c r="Y15" s="337">
        <f>SUM(W15)</f>
        <v>8710</v>
      </c>
      <c r="Z15" s="338" t="str">
        <f>IF(ISNUMBER(Datos!CC15),Datos!CC15," - ")</f>
        <v xml:space="preserve"> - </v>
      </c>
      <c r="AA15" s="335">
        <f>IF(ISNUMBER(IF(D_I="SI",Datos!L15,Datos!L15+Datos!AF15)),IF(D_I="SI",Datos!L15,Datos!L15+Datos!AF15)," - ")</f>
        <v>2248</v>
      </c>
      <c r="AB15" s="337">
        <f>IF(ISNUMBER(Datos!R15),Datos!R15," - ")</f>
        <v>437</v>
      </c>
      <c r="AC15" s="337">
        <f t="shared" ref="AC15:AC17" si="6">IF(ISNUMBER(AA15+AB15),AA15+AB15," - ")</f>
        <v>2685</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1885</v>
      </c>
      <c r="AJ15" s="234" t="str">
        <f>IF(ISNUMBER(Datos!BW15),Datos!BW15," - ")</f>
        <v xml:space="preserve"> - </v>
      </c>
      <c r="AK15" s="235" t="str">
        <f>IF(ISNUMBER(Datos!BX15),Datos!BX15," - ")</f>
        <v xml:space="preserve"> - </v>
      </c>
      <c r="AL15" s="246">
        <f>IF(ISNUMBER(NºAsuntos!G15/NºAsuntos!E15),NºAsuntos!G15/NºAsuntos!E15," - ")</f>
        <v>0.98118733806466152</v>
      </c>
      <c r="AM15" s="263">
        <f>IF(ISNUMBER(((NºAsuntos!I15/NºAsuntos!G15)*11)/factor_trimestre),((NºAsuntos!I15/NºAsuntos!G15)*11)/factor_trimestre," - ")</f>
        <v>2.8390355912743974</v>
      </c>
      <c r="AN15" s="247">
        <f>IF(ISNUMBER('Resol  Asuntos'!D15/NºAsuntos!G15),'Resol  Asuntos'!D15/NºAsuntos!G15," - ")</f>
        <v>0.21641791044776118</v>
      </c>
      <c r="AO15" s="248">
        <f>IF(ISNUMBER((NºAsuntos!C15+NºAsuntos!E15)/NºAsuntos!G15),(NºAsuntos!C15+NºAsuntos!E15)/NºAsuntos!G15," - ")</f>
        <v>1.2559127439724456</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396</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449</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26</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1612</v>
      </c>
      <c r="X17" s="229">
        <f>IF(ISNUMBER(Datos!Q17),Datos!Q17," - ")</f>
        <v>15</v>
      </c>
      <c r="Y17" s="337">
        <f t="shared" si="7"/>
        <v>1627</v>
      </c>
      <c r="Z17" s="338" t="str">
        <f>IF(ISNUMBER(Datos!CC17),Datos!CC17," - ")</f>
        <v xml:space="preserve"> - </v>
      </c>
      <c r="AA17" s="335">
        <f>IF(ISNUMBER(Datos!L17),Datos!L17,"-")</f>
        <v>398</v>
      </c>
      <c r="AB17" s="337">
        <f>IF(ISNUMBER(Datos!R17),Datos!R17," - ")</f>
        <v>12</v>
      </c>
      <c r="AC17" s="337">
        <f t="shared" si="6"/>
        <v>410</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190</v>
      </c>
      <c r="AJ17" s="234" t="str">
        <f>IF(ISNUMBER(Datos!BW17),Datos!BW17," - ")</f>
        <v xml:space="preserve"> - </v>
      </c>
      <c r="AK17" s="235" t="str">
        <f>IF(ISNUMBER(Datos!BX17),Datos!BX17," - ")</f>
        <v xml:space="preserve"> - </v>
      </c>
      <c r="AL17" s="246">
        <f>IF(ISNUMBER(NºAsuntos!G17/NºAsuntos!E17),NºAsuntos!G17/NºAsuntos!E17," - ")</f>
        <v>1.028061224489796</v>
      </c>
      <c r="AM17" s="263">
        <f>IF(ISNUMBER(((NºAsuntos!I17/NºAsuntos!G17)*11)/factor_trimestre),((NºAsuntos!I17/NºAsuntos!G17)*11)/factor_trimestre," - ")</f>
        <v>2.7158808933002483</v>
      </c>
      <c r="AN17" s="247">
        <f>IF(ISNUMBER('Resol  Asuntos'!D17/NºAsuntos!G17),'Resol  Asuntos'!D17/NºAsuntos!G17," - ")</f>
        <v>0.11786600496277916</v>
      </c>
      <c r="AO17" s="248">
        <f>IF(ISNUMBER((NºAsuntos!C17+NºAsuntos!E17)/NºAsuntos!G17),(NºAsuntos!C17+NºAsuntos!E17)/NºAsuntos!G17," - ")</f>
        <v>1.251240694789082</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4</v>
      </c>
      <c r="F18" s="868">
        <f>SUBTOTAL(9,F14:F17)</f>
        <v>2081</v>
      </c>
      <c r="G18" s="869">
        <f>SUBTOTAL(9,G15:G17)</f>
        <v>2511</v>
      </c>
      <c r="H18" s="868">
        <f t="shared" ref="H18:O18" si="10">SUBTOTAL(9,H14:H17)</f>
        <v>0</v>
      </c>
      <c r="I18" s="870">
        <f t="shared" si="10"/>
        <v>0</v>
      </c>
      <c r="J18" s="870">
        <f t="shared" si="10"/>
        <v>0</v>
      </c>
      <c r="K18" s="870">
        <f t="shared" si="10"/>
        <v>0</v>
      </c>
      <c r="L18" s="870">
        <f t="shared" si="10"/>
        <v>928</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10322</v>
      </c>
      <c r="X18" s="870">
        <f t="shared" si="11"/>
        <v>912</v>
      </c>
      <c r="Y18" s="871">
        <f t="shared" si="11"/>
        <v>10337</v>
      </c>
      <c r="Z18" s="871">
        <f t="shared" si="11"/>
        <v>0</v>
      </c>
      <c r="AA18" s="871">
        <f t="shared" si="11"/>
        <v>2646</v>
      </c>
      <c r="AB18" s="871">
        <f t="shared" si="11"/>
        <v>449</v>
      </c>
      <c r="AC18" s="871">
        <f t="shared" si="11"/>
        <v>3095</v>
      </c>
      <c r="AD18" s="871">
        <f t="shared" si="11"/>
        <v>0</v>
      </c>
      <c r="AE18" s="875">
        <f t="shared" si="11"/>
        <v>0</v>
      </c>
      <c r="AF18" s="868">
        <f t="shared" si="11"/>
        <v>0</v>
      </c>
      <c r="AG18" s="876">
        <f t="shared" si="11"/>
        <v>0</v>
      </c>
      <c r="AH18" s="873">
        <f t="shared" si="11"/>
        <v>0</v>
      </c>
      <c r="AI18" s="868">
        <f t="shared" si="11"/>
        <v>2075</v>
      </c>
      <c r="AJ18" s="870">
        <f t="shared" si="11"/>
        <v>0</v>
      </c>
      <c r="AK18" s="873">
        <f t="shared" si="11"/>
        <v>0</v>
      </c>
      <c r="AL18" s="877">
        <f>IF(ISNUMBER(NºAsuntos!G18/NºAsuntos!E18),NºAsuntos!G18/NºAsuntos!E18," - ")</f>
        <v>0.9882240306366683</v>
      </c>
      <c r="AM18" s="877">
        <f>IF(ISNUMBER(((NºAsuntos!I18/NºAsuntos!G18)*11)/factor_trimestre),((NºAsuntos!I18/NºAsuntos!G18)*11)/factor_trimestre," - ")</f>
        <v>2.8198023638829688</v>
      </c>
      <c r="AN18" s="878">
        <f>IF(ISNUMBER('Resol  Asuntos'!D18/NºAsuntos!G18),'Resol  Asuntos'!D18/NºAsuntos!G18," - ")</f>
        <v>0.20102693276496802</v>
      </c>
      <c r="AO18" s="879">
        <f>IF(ISNUMBER((NºAsuntos!C18+NºAsuntos!E18)/NºAsuntos!G18),(NºAsuntos!C18+NºAsuntos!E18)/NºAsuntos!G18," - ")</f>
        <v>1.2551831040496029</v>
      </c>
      <c r="AP18" s="880" t="str">
        <f t="shared" si="2"/>
        <v xml:space="preserve"> - </v>
      </c>
      <c r="AQ18" s="880">
        <f>IF(ISNUMBER((H18-W18+K18)/(F18)),(H18-W18+K18)/(F18)," - ")</f>
        <v>-4.9601153291686693</v>
      </c>
      <c r="AR18" s="881">
        <f>IF(ISNUMBER((Datos!P18-Datos!Q18)/(Datos!R18-Datos!P18+Datos!Q18)),(Datos!P18-Datos!Q18)/(Datos!R18-Datos!P18+Datos!Q18)," - ")</f>
        <v>3.695150115473441E-2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11</v>
      </c>
      <c r="F19" s="823">
        <f t="shared" si="13"/>
        <v>2135</v>
      </c>
      <c r="G19" s="824">
        <f t="shared" si="13"/>
        <v>2606</v>
      </c>
      <c r="H19" s="823">
        <f t="shared" si="13"/>
        <v>0</v>
      </c>
      <c r="I19" s="825">
        <f t="shared" si="13"/>
        <v>0</v>
      </c>
      <c r="J19" s="825">
        <f t="shared" si="13"/>
        <v>0</v>
      </c>
      <c r="K19" s="884">
        <f t="shared" si="13"/>
        <v>0</v>
      </c>
      <c r="L19" s="825">
        <f t="shared" si="13"/>
        <v>3379</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10536</v>
      </c>
      <c r="X19" s="824">
        <f t="shared" si="14"/>
        <v>3560</v>
      </c>
      <c r="Y19" s="831">
        <f t="shared" si="14"/>
        <v>13199</v>
      </c>
      <c r="Z19" s="831">
        <f t="shared" si="14"/>
        <v>0</v>
      </c>
      <c r="AA19" s="831">
        <f t="shared" si="14"/>
        <v>2752</v>
      </c>
      <c r="AB19" s="831">
        <f t="shared" si="14"/>
        <v>10220</v>
      </c>
      <c r="AC19" s="831">
        <f t="shared" si="14"/>
        <v>3276</v>
      </c>
      <c r="AD19" s="831">
        <f t="shared" si="14"/>
        <v>0</v>
      </c>
      <c r="AE19" s="833">
        <f t="shared" si="14"/>
        <v>0</v>
      </c>
      <c r="AF19" s="834">
        <f t="shared" si="14"/>
        <v>0</v>
      </c>
      <c r="AG19" s="835">
        <f t="shared" si="14"/>
        <v>0</v>
      </c>
      <c r="AH19" s="833">
        <f t="shared" si="14"/>
        <v>0</v>
      </c>
      <c r="AI19" s="823">
        <f t="shared" si="14"/>
        <v>4200</v>
      </c>
      <c r="AJ19" s="823">
        <f t="shared" si="14"/>
        <v>0</v>
      </c>
      <c r="AK19" s="833">
        <f t="shared" si="14"/>
        <v>0</v>
      </c>
      <c r="AL19" s="887">
        <f>IF(ISNUMBER(NºAsuntos!G19/NºAsuntos!E19),NºAsuntos!G19/NºAsuntos!E19," - ")</f>
        <v>0.96726078799249526</v>
      </c>
      <c r="AM19" s="888">
        <f>IF(ISNUMBER(((NºAsuntos!I19/NºAsuntos!G19)*11)/factor_trimestre),((NºAsuntos!I19/NºAsuntos!G19)*11)/factor_trimestre," - ")</f>
        <v>4.2507516244787116</v>
      </c>
      <c r="AN19" s="888">
        <f>IF(ISNUMBER('Resol  Asuntos'!D19/NºAsuntos!G19),'Resol  Asuntos'!D19/NºAsuntos!G19," - ")</f>
        <v>0.20366598778004075</v>
      </c>
      <c r="AO19" s="889">
        <f>IF(ISNUMBER((NºAsuntos!C19+NºAsuntos!E19)/NºAsuntos!G19),(NºAsuntos!C19+NºAsuntos!E19)/NºAsuntos!G19," - ")</f>
        <v>1.386431965861701</v>
      </c>
      <c r="AP19" s="890" t="str">
        <f t="shared" si="2"/>
        <v xml:space="preserve"> - </v>
      </c>
      <c r="AQ19" s="891">
        <f>IF(OR(ISNUMBER(FIND("01",Criterios!A8,1)),ISNUMBER(FIND("02",Criterios!A8,1)),ISNUMBER(FIND("03",Criterios!A8,1)),ISNUMBER(FIND("04",Criterios!A8,1))),(I19-W19+K19)/(F19-K19),(H19-W19+K19)/(F19-K19))</f>
        <v>-4.934894613583138</v>
      </c>
      <c r="AR19" s="892">
        <f>IF(ISNUMBER((Datos!P19-Datos!Q19)/(Datos!R19-Datos!P19+Datos!Q19)),(Datos!P19-Datos!Q19)/(Datos!R19-Datos!P19+Datos!Q19)," - ")</f>
        <v>-1.7402172867993462E-2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1042.4000000000001</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2.6977356760397742</v>
      </c>
      <c r="F21" s="255">
        <f>IF(ISNUMBER(STDEV(F8:F18)),STDEV(F8:F18),"-")</f>
        <v>1170.2889956473714</v>
      </c>
      <c r="G21" s="256">
        <f>IF(ISNUMBER(STDEV(G8:G18)),STDEV(G8:G18),"-")</f>
        <v>1155.8143449533752</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4906.4264796285288</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992.61553483712919</v>
      </c>
      <c r="AJ21" s="255">
        <f t="shared" si="18"/>
        <v>0</v>
      </c>
      <c r="AK21" s="257">
        <f t="shared" si="18"/>
        <v>0</v>
      </c>
      <c r="AL21" s="252">
        <f t="shared" si="18"/>
        <v>7.7075280286458034E-2</v>
      </c>
      <c r="AM21" s="253">
        <f t="shared" si="18"/>
        <v>1.5454894720162697</v>
      </c>
      <c r="AN21" s="253">
        <f t="shared" si="18"/>
        <v>4.9141083691836403E-2</v>
      </c>
      <c r="AO21" s="254">
        <f t="shared" si="18"/>
        <v>0.18551033950953091</v>
      </c>
      <c r="AP21" s="294" t="str">
        <f t="shared" si="18"/>
        <v>-</v>
      </c>
      <c r="AQ21" s="295">
        <f t="shared" si="18"/>
        <v>0.7050932000202742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6m/4lNbkEMiZIT+RAE1uM2zCNmEQ3i15FnAO82FW90dpd6LVPpzFeFSZYrY/cREH48yVGUXbGpYzX0jJfTGWIQ==" saltValue="loQVHBP+kkTcLv++XJOK3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COMUNIDAD VALENCIANA</v>
      </c>
      <c r="E2" s="266"/>
    </row>
    <row r="3" spans="2:20" ht="17.25" customHeight="1">
      <c r="C3" s="270"/>
      <c r="D3" s="265" t="str">
        <f>Criterios!A10 &amp;"  "&amp;Criterios!B10</f>
        <v>Provincias  VALENCIA</v>
      </c>
      <c r="E3" s="266"/>
    </row>
    <row r="4" spans="2:20" ht="17.25" customHeight="1" thickBot="1">
      <c r="D4" s="265" t="str">
        <f>Criterios!A11 &amp;"  "&amp;Criterios!B11</f>
        <v>Resumenes por Partidos Judiciales  TORRENT</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0.11428571428571428</v>
      </c>
      <c r="I9" s="353">
        <f>IF(ISNUMBER((Tasas!C9-Datos!BE9)/Datos!BE9),(Tasas!C9-Datos!BE9)/Datos!BE9," - ")</f>
        <v>2.1308642778216688E-2</v>
      </c>
      <c r="J9" s="352">
        <f>IF(ISNUMBER((Tasas!D9-Datos!BF9)/Datos!BF9),(Tasas!D9-Datos!BF9)/Datos!BF9," - ")</f>
        <v>-0.52439414084976532</v>
      </c>
      <c r="K9" s="354">
        <f>IF(ISNUMBER((Tasas!E9-Datos!BG9)/Datos!BG9),(Tasas!E9-Datos!BG9)/Datos!BG9," - ")</f>
        <v>1.527918204626609E-2</v>
      </c>
      <c r="M9" t="e">
        <f>IF(Monitorios="SI",Datos!CE9,0)</f>
        <v>#REF!</v>
      </c>
      <c r="N9" t="e">
        <f>IF(Monitorios="SI",Datos!CF9,0)</f>
        <v>#REF!</v>
      </c>
      <c r="O9" t="e">
        <f>IF(Monitorios="SI",Datos!CG9,0)</f>
        <v>#REF!</v>
      </c>
      <c r="P9" t="e">
        <f>IF(Monitorios="SI",Datos!CH9,0)</f>
        <v>#REF!</v>
      </c>
      <c r="Q9">
        <f>IF(J_V="SI",0,Datos!AG9)</f>
        <v>272</v>
      </c>
      <c r="R9">
        <f>IF(J_V="SI",0,Datos!AH9)</f>
        <v>1073</v>
      </c>
      <c r="S9">
        <f>IF(J_V="SI",0,Datos!AI9)</f>
        <v>1013</v>
      </c>
      <c r="T9">
        <f>IF(J_V="SI",0,Datos!AJ9)</f>
        <v>325</v>
      </c>
    </row>
    <row r="10" spans="2:20" ht="14.25">
      <c r="B10" s="278" t="s">
        <v>246</v>
      </c>
      <c r="C10" s="7" t="str">
        <f>Datos!A10</f>
        <v>Jdos. Violencia contra la mujer</v>
      </c>
      <c r="D10" s="355">
        <f>IF(ISNUMBER((Datos!I10-Datos!S10)/Datos!S10),(Datos!I10-Datos!S10)/Datos!S10," - ")</f>
        <v>0</v>
      </c>
      <c r="E10" s="351">
        <f>IF(ISNUMBER((Datos!J10-Datos!T10)/Datos!T10),(Datos!J10-Datos!T10)/Datos!T10," - ")</f>
        <v>0.22018348623853212</v>
      </c>
      <c r="F10" s="351">
        <f>IF(ISNUMBER((Datos!K10-Datos!U10)/Datos!U10),(Datos!K10-Datos!U10)/Datos!U10," - ")</f>
        <v>0.12041884816753927</v>
      </c>
      <c r="G10" s="352">
        <f>IF(ISNUMBER((Datos!L10-Datos!V10)/Datos!V10),(Datos!L10-Datos!V10)/Datos!V10," - ")</f>
        <v>0.11578947368421053</v>
      </c>
      <c r="H10" s="233">
        <f>IF(ISNUMBER((Datos!M10-Datos!W10)/Datos!W10),(Datos!M10-Datos!W10)/Datos!W10," - ")</f>
        <v>0.18367346938775511</v>
      </c>
      <c r="I10" s="353">
        <f>IF(ISNUMBER((Tasas!C10-Datos!BE10)/Datos!BE10),(Tasas!C10-Datos!BE10)/Datos!BE10," - ")</f>
        <v>-4.1318248893261701E-3</v>
      </c>
      <c r="J10" s="352">
        <f>IF(ISNUMBER((Tasas!D10-Datos!BF10)/Datos!BF10),(Tasas!D10-Datos!BF10)/Datos!BF10," - ")</f>
        <v>5.6456227350753313E-2</v>
      </c>
      <c r="K10" s="354">
        <f>IF(ISNUMBER((Tasas!E10-Datos!BG10)/Datos!BG10),(Tasas!E10-Datos!BG10)/Datos!BG10," - ")</f>
        <v>2.939595712280919E-2</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0.11607142857142858</v>
      </c>
      <c r="I13" s="360">
        <f>IF(ISNUMBER((Tasas!C13-Datos!BE13)/Datos!BE13),(Tasas!C13-Datos!BE13)/Datos!BE13," - ")</f>
        <v>2.0780900709798558E-2</v>
      </c>
      <c r="J13" s="358">
        <f>IF(ISNUMBER((Tasas!D13-Datos!BF13)/Datos!BF13),(Tasas!D13-Datos!BF13)/Datos!BF13," - ")</f>
        <v>-0.51723917130195673</v>
      </c>
      <c r="K13" s="361">
        <f>IF(ISNUMBER((Tasas!E13-Datos!BG13)/Datos!BG13),(Tasas!E13-Datos!BG13)/Datos!BG13," - ")</f>
        <v>1.5646945188329559E-2</v>
      </c>
      <c r="M13" t="e">
        <f>IF(Monitorios="SI",Datos!CE13,0)</f>
        <v>#REF!</v>
      </c>
      <c r="N13" t="e">
        <f>IF(Monitorios="SI",Datos!CF13,0)</f>
        <v>#REF!</v>
      </c>
      <c r="O13" t="e">
        <f>IF(Monitorios="SI",Datos!CG13,0)</f>
        <v>#REF!</v>
      </c>
      <c r="P13" t="e">
        <f>IF(Monitorios="SI",Datos!CH13,0)</f>
        <v>#REF!</v>
      </c>
      <c r="Q13">
        <f>IF(J_V="SI",0,Datos!AG13)</f>
        <v>272</v>
      </c>
      <c r="R13">
        <f>IF(J_V="SI",0,Datos!AH13)</f>
        <v>1073</v>
      </c>
      <c r="S13">
        <f>IF(J_V="SI",0,Datos!AI13)</f>
        <v>1013</v>
      </c>
      <c r="T13">
        <f>IF(J_V="SI",0,Datos!AJ13)</f>
        <v>325</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f>IF(ISNUMBER(
   IF(D_I="SI",(Datos!I15-Datos!S15)/Datos!S15,(Datos!I15+Datos!AC15-(Datos!S15+Datos!AK15))/(Datos!S15+Datos!AK15))
     ),IF(D_I="SI",(Datos!I15-Datos!S15)/Datos!S15,(Datos!I15+Datos!AC15-(Datos!S15+Datos!AK15))/(Datos!S15+Datos!AK15))," - ")</f>
        <v>0.16103603603603603</v>
      </c>
      <c r="E15" s="351">
        <f>IF(ISNUMBER(
   IF(D_I="SI",(Datos!J15-Datos!T15)/Datos!T15,(Datos!J15+Datos!AD15-(Datos!T15+Datos!AL15))/(Datos!T15+Datos!AL15))
     ),IF(D_I="SI",(Datos!J15-Datos!T15)/Datos!T15,(Datos!J15+Datos!AD15-(Datos!T15+Datos!AL15))/(Datos!T15+Datos!AL15))," - ")</f>
        <v>2.458448753462604E-2</v>
      </c>
      <c r="F15" s="351">
        <f>IF(ISNUMBER(
   IF(D_I="SI",(Datos!K15-Datos!U15)/Datos!U15,(Datos!K15+Datos!AE15-(Datos!U15+Datos!AM15))/(Datos!U15+Datos!AM15))
     ),IF(D_I="SI",(Datos!K15-Datos!U15)/Datos!U15,(Datos!K15+Datos!AE15-(Datos!U15+Datos!AM15))/(Datos!U15+Datos!AM15))," - ")</f>
        <v>3.7645937574457944E-2</v>
      </c>
      <c r="G15" s="352">
        <f>IF(ISNUMBER(
   IF(D_I="SI",(Datos!L15-Datos!V15)/Datos!V15,(Datos!L15+Datos!AF15-(Datos!V15+Datos!AN15))/(Datos!V15+Datos!AN15))
     ),IF(D_I="SI",(Datos!L15-Datos!V15)/Datos!V15,(Datos!L15+Datos!AF15-(Datos!V15+Datos!AN15))/(Datos!V15+Datos!AN15))," - ")</f>
        <v>9.0203685741998066E-2</v>
      </c>
      <c r="H15" s="233">
        <f>IF(ISNUMBER((Datos!M15-Datos!W15)/Datos!W15),(Datos!M15-Datos!W15)/Datos!W15," - ")</f>
        <v>0.1107837360047142</v>
      </c>
      <c r="I15" s="353">
        <f>IF(ISNUMBER((Tasas!C15-Datos!BE15)/Datos!BE15),(Tasas!C15-Datos!BE15)/Datos!BE15," - ")</f>
        <v>5.0650945823000358E-2</v>
      </c>
      <c r="J15" s="352">
        <f>IF(ISNUMBER((Tasas!D15-Datos!BF15)/Datos!BF15),(Tasas!D15-Datos!BF15)/Datos!BF15," - ")</f>
        <v>7.0484349026816356E-2</v>
      </c>
      <c r="K15" s="354">
        <f>IF(ISNUMBER((Tasas!E15-Datos!BG15)/Datos!BG15),(Tasas!E15-Datos!BG15)/Datos!BG15," - ")</f>
        <v>9.7827177111788812E-3</v>
      </c>
    </row>
    <row r="16" spans="2:20" ht="14.25">
      <c r="B16" s="278" t="s">
        <v>396</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0.29768786127167629</v>
      </c>
      <c r="E17" s="351">
        <f>IF(ISNUMBER(
   IF(D_I="SI",(Datos!J17-Datos!T17)/Datos!T17,(Datos!J17+Datos!AD17-(Datos!T17+Datos!AL17))/(Datos!T17+Datos!AL17))
     ),IF(D_I="SI",(Datos!J17-Datos!T17)/Datos!T17,(Datos!J17+Datos!AD17-(Datos!T17+Datos!AL17))/(Datos!T17+Datos!AL17))," - ")</f>
        <v>0.38883968113374667</v>
      </c>
      <c r="F17" s="351">
        <f>IF(ISNUMBER(
   IF(D_I="SI",(Datos!K17-Datos!U17)/Datos!U17,(Datos!K17+Datos!AE17-(Datos!U17+Datos!AM17))/(Datos!U17+Datos!AM17))
     ),IF(D_I="SI",(Datos!K17-Datos!U17)/Datos!U17,(Datos!K17+Datos!AE17-(Datos!U17+Datos!AM17))/(Datos!U17+Datos!AM17))," - ")</f>
        <v>0.57115009746588696</v>
      </c>
      <c r="G17" s="352">
        <f>IF(ISNUMBER(
   IF(D_I="SI",(Datos!L17-Datos!V17)/Datos!V17,(Datos!L17+Datos!AF17-(Datos!V17+Datos!AN17))/(Datos!V17+Datos!AN17))
     ),IF(D_I="SI",(Datos!L17-Datos!V17)/Datos!V17,(Datos!L17+Datos!AF17-(Datos!V17+Datos!AN17))/(Datos!V17+Datos!AN17))," - ")</f>
        <v>-0.11358574610244988</v>
      </c>
      <c r="H17" s="233">
        <f>IF(ISNUMBER((Datos!M17-Datos!W17)/Datos!W17),(Datos!M17-Datos!W17)/Datos!W17," - ")</f>
        <v>1.4675324675324675</v>
      </c>
      <c r="I17" s="353">
        <f>IF(ISNUMBER((Tasas!C17-Datos!BE17)/Datos!BE17),(Tasas!C17-Datos!BE17)/Datos!BE17," - ")</f>
        <v>-0.43581822301557915</v>
      </c>
      <c r="J17" s="352">
        <f>IF(ISNUMBER((Tasas!D17-Datos!BF17)/Datos!BF17),(Tasas!D17-Datos!BF17)/Datos!BF17," - ")</f>
        <v>0.57052624794560292</v>
      </c>
      <c r="K17" s="354">
        <f>IF(ISNUMBER((Tasas!E17-Datos!BG17)/Datos!BG17),(Tasas!E17-Datos!BG17)/Datos!BG17," - ")</f>
        <v>-0.12964545569247587</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0.18331762488218661</v>
      </c>
      <c r="E18" s="357">
        <f>IF(ISNUMBER(
   IF(D_I="SI",(Datos!J18-Datos!T18)/Datos!T18,(Datos!J18+Datos!AD18-(Datos!T18+Datos!AL18))/(Datos!T18+Datos!AL18))
     ),IF(D_I="SI",(Datos!J18-Datos!T18)/Datos!T18,(Datos!J18+Datos!AD18-(Datos!T18+Datos!AL18))/(Datos!T18+Datos!AL18))," - ")</f>
        <v>6.6578168079240274E-2</v>
      </c>
      <c r="F18" s="357">
        <f>IF(ISNUMBER(
   IF(D_I="SI",(Datos!K18-Datos!U18)/Datos!U18,(Datos!K18+Datos!AE18-(Datos!U18+Datos!AM18))/(Datos!U18+Datos!AM18))
     ),IF(D_I="SI",(Datos!K18-Datos!U18)/Datos!U18,(Datos!K18+Datos!AE18-(Datos!U18+Datos!AM18))/(Datos!U18+Datos!AM18))," - ")</f>
        <v>9.5753715498938435E-2</v>
      </c>
      <c r="G18" s="358">
        <f>IF(ISNUMBER(
   IF(D_I="SI",(Datos!L18-Datos!V18)/Datos!V18,(Datos!L18+Datos!AF18-(Datos!V18+Datos!AN18))/(Datos!V18+Datos!AN18))
     ),IF(D_I="SI",(Datos!L18-Datos!V18)/Datos!V18,(Datos!L18+Datos!AF18-(Datos!V18+Datos!AN18))/(Datos!V18+Datos!AN18))," - ")</f>
        <v>5.3763440860215055E-2</v>
      </c>
      <c r="H18" s="359">
        <f>IF(ISNUMBER((Datos!M18-Datos!W18)/Datos!W18),(Datos!M18-Datos!W18)/Datos!W18," - ")</f>
        <v>0.16967305524239007</v>
      </c>
      <c r="I18" s="360">
        <f>IF(ISNUMBER((Tasas!C18-Datos!BE18)/Datos!BE18),(Tasas!C18-Datos!BE18)/Datos!BE18," - ")</f>
        <v>-3.8320905550937139E-2</v>
      </c>
      <c r="J18" s="358">
        <f>IF(ISNUMBER((Tasas!D18-Datos!BF18)/Datos!BF18),(Tasas!D18-Datos!BF18)/Datos!BF18," - ")</f>
        <v>6.7459812089063501E-2</v>
      </c>
      <c r="K18" s="361">
        <f>IF(ISNUMBER((Tasas!E18-Datos!BG18)/Datos!BG18),(Tasas!E18-Datos!BG18)/Datos!BG18," - ")</f>
        <v>-7.6521325935997413E-3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0.17349903163331182</v>
      </c>
      <c r="E19" s="366">
        <f>IF(ISNUMBER(
   IF(J_V="SI",(Datos!J19-Datos!T19)/Datos!T19,(Datos!J19+Datos!Z19-(Datos!T19+Datos!AH19))/(Datos!T19+Datos!AH19))
     ),IF(J_V="SI",(Datos!J19-Datos!T19)/Datos!T19,(Datos!J19+Datos!Z19-(Datos!T19+Datos!AH19))/(Datos!T19+Datos!AH19))," - ")</f>
        <v>7.8347073997268729E-2</v>
      </c>
      <c r="F19" s="366">
        <f>IF(ISNUMBER(
   IF(J_V="SI",(Datos!K19-Datos!U19)/Datos!U19,(Datos!K19+Datos!AA19-(Datos!U19+Datos!AI19))/(Datos!U19+Datos!AI19))
     ),IF(J_V="SI",(Datos!K19-Datos!U19)/Datos!U19,(Datos!K19+Datos!AA19-(Datos!U19+Datos!AI19))/(Datos!U19+Datos!AI19))," - ")</f>
        <v>9.5632770162575709E-2</v>
      </c>
      <c r="G19" s="367">
        <f>IF(ISNUMBER(
   IF(J_V="SI",(Datos!L19-Datos!V19)/Datos!V19,(Datos!L19+Datos!AB19-(Datos!V19+Datos!AJ19))/(Datos!V19+Datos!AJ19))
     ),IF(J_V="SI",(Datos!L19-Datos!V19)/Datos!V19,(Datos!L19+Datos!AB19-(Datos!V19+Datos!AJ19))/(Datos!V19+Datos!AJ19))," - ")</f>
        <v>9.5997799477375884E-2</v>
      </c>
      <c r="H19" s="368">
        <f>IF(ISNUMBER((Datos!M19-Datos!W19)/Datos!W19),(Datos!M19-Datos!W19)/Datos!W19," - ")</f>
        <v>0.14192495921696574</v>
      </c>
      <c r="I19" s="365">
        <f>IF(ISNUMBER((Tasas!C19-Datos!BE19)/Datos!BE19),(Tasas!C19-Datos!BE19)/Datos!BE19," - ")</f>
        <v>3.331675765283351E-4</v>
      </c>
      <c r="J19" s="366">
        <f>IF(ISNUMBER((Tasas!D19-Datos!BF19)/Datos!BF19),(Tasas!D19-Datos!BF19)/Datos!BF19," - ")</f>
        <v>-0.33815586636810657</v>
      </c>
      <c r="K19" s="367">
        <f>IF(ISNUMBER((Tasas!E19-Datos!BG19)/Datos!BG19),(Tasas!E19-Datos!BG19)/Datos!BG19," - ")</f>
        <v>4.9456025512742315E-3</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0.12261279186823552</v>
      </c>
      <c r="E21" s="281">
        <f t="shared" si="1"/>
        <v>0.16547816376668262</v>
      </c>
      <c r="F21" s="281">
        <f t="shared" si="1"/>
        <v>0.2457341559924234</v>
      </c>
      <c r="G21" s="282">
        <f t="shared" si="1"/>
        <v>0.10327093294673895</v>
      </c>
      <c r="H21" s="288">
        <f t="shared" si="1"/>
        <v>0.54330990831389792</v>
      </c>
      <c r="I21" s="280">
        <f t="shared" si="1"/>
        <v>0.18444631733838115</v>
      </c>
      <c r="J21" s="281">
        <f t="shared" si="1"/>
        <v>0.41664633750779384</v>
      </c>
      <c r="K21" s="282">
        <f t="shared" si="1"/>
        <v>5.9248839741731667E-2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piBFiMchFMsahRf+iS0bUZBtZ4DxzXYLHMlM773eCwfWQdKdNet+tTnr1Q1g+PtmmyWpiCLciy8VrBnHBF8Rgw==" saltValue="YLdQ5UZn4fQvlEJB1NeQl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2024-05-03T10:33:17Z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